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167" documentId="13_ncr:1_{C116D94F-4D03-3B40-8287-B36BBAD89845}" xr6:coauthVersionLast="47" xr6:coauthVersionMax="47" xr10:uidLastSave="{AFB17748-9AD3-4C67-A68A-B2E953B031DE}"/>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<sst xmlns="http://schemas.openxmlformats.org/spreadsheetml/2006/main" count="331" uniqueCount="167">
  <si>
    <t>Species:</t>
  </si>
  <si>
    <t>Thevetia peruviana aka Cascabela thevetia, Thevetia longifololia, Thevetia nerifolia, Thevetia thevetia (Yellow oleander, Captain cook tree, Lucky nut, Be-still tree, Cook tree, Tree dafoodil, Dicky plant) family: Apocynaceae</t>
  </si>
  <si>
    <r>
      <rPr>
        <sz val="11"/>
        <color rgb="FF000000"/>
        <rFont val="Calibri"/>
      </rPr>
      <t>Assessment date:</t>
    </r>
    <r>
      <rPr>
        <sz val="11"/>
        <color rgb="FFFF0000"/>
        <rFont val="Calibri"/>
      </rPr>
      <t xml:space="preserve"> April 28, 2025</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</si>
  <si>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</si>
  <si>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</si>
  <si>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</si>
  <si>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</si>
  <si>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</si>
  <si>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</si>
  <si>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</si>
  <si>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</si>
  <si>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</si>
  <si>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</si>
  <si>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</si>
  <si>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</si>
  <si>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</si>
  <si>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climate suitability map</t>
  </si>
  <si>
    <t>Quality of climate match data (1-low; 2-intermediate; 3-high)</t>
  </si>
  <si>
    <t>Broad climate suitability (environmental versatility)</t>
  </si>
  <si>
    <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</si>
  <si>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</si>
  <si>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</si>
  <si>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Native to Central and South America. Introduced to Carribean islands, Italy, parts of Africa, and South/SouthEast Asia (1). Occurecences found in the Pacific and Oceania as well (2)</t>
  </si>
  <si>
    <t>(1) https://powo.science.kew.org/taxon/urn:lsid:ipni.org:names:47927-2#distributions (2) https://www.gbif.org/occurrence/map?taxon_key=5414405</t>
  </si>
  <si>
    <t>Naturalized beyond native range</t>
  </si>
  <si>
    <t>Naturalized to the Bahamas (1) and Australia (2). Likely other locations as well</t>
  </si>
  <si>
    <t>(1) https://www.regionalconservation.org/ircs/database/plants/PlantPageBAH.asp?TXCODE=Thevperu (2) https://weeds.org.au/profiles/yellow-oleander-captain/</t>
  </si>
  <si>
    <t>Garden/amenity/disturbance weed</t>
  </si>
  <si>
    <t>"It is a very common garden plant in Brisbane and has naturalised' on ex-pasture land on St. Helena Island National Park near Brisbane, at Burleigh Heads and Rockhampton (Queensland). It appears to be an opportunistic plant, largely restricted to heavily disturbed habitats." (1) "It is an opportunistic plant and is found growing on disturbed habitats" (2)</t>
  </si>
  <si>
    <t>(1) https://weeds.org.au/wp-content/uploads/2020/04/potential.pdf (2) https://www.iucngisd.org/gisd/species.php?sc=1606</t>
  </si>
  <si>
    <t>Weed of agriculture</t>
  </si>
  <si>
    <t>?</t>
  </si>
  <si>
    <t>Not enough information. Possible given the toxic nature of the plant and ability to invade pasturelands.</t>
  </si>
  <si>
    <t>Environmental weed</t>
  </si>
  <si>
    <t>"This species and is regarded an an environmental weed in south-eastern Queensland, where it is on the list of the top 200 invasive naturalised plants, and as a priority weed in far northern Queensland. It is also seen as a potential sleeper weed in other states. It has already become established in conservation areas in south-eastern Queensland (e.g. St. Helena Island National Park near Brisbane), as well as in bushland and riparian areas, and has also been reported to invade coastal vegetation in northern Queensland (e.g. at Balgal Beach near Townsville)." (1) Described as an environmental weed in Kruger National Park, South Africa (2)</t>
  </si>
  <si>
    <t>(1) https://weeds.brisbane.qld.gov.au/weeds/yellow-oleander (2) https://gd.eppo.int/reporting/article-737</t>
  </si>
  <si>
    <t>Congeneric weed</t>
  </si>
  <si>
    <t>Produces spines, thorns or burrs</t>
  </si>
  <si>
    <t>Allelopathic</t>
  </si>
  <si>
    <t xml:space="preserve">Extracts shown to suppress seedling growth of Cypers rotundus. (1) However, no field studies found. </t>
  </si>
  <si>
    <t>(1) http://doi.org/10.4038/agrieast.v14i2.96</t>
  </si>
  <si>
    <t>Parasitic</t>
  </si>
  <si>
    <t>Unpalatable to grazing animals</t>
  </si>
  <si>
    <t xml:space="preserve">Unlikely given toxicity. </t>
  </si>
  <si>
    <t>Toxic to animals</t>
  </si>
  <si>
    <t>Ingestion causes poisoning and death (1). "All parts of the plants are very poisonous, especially the sap and oily seeds." (2)</t>
  </si>
  <si>
    <t>(1) Eddleston M, Ariaratnam CA, Meyer WP, Perera G, Kularatne AM, Attapattu S, Sheriff MH, Warrell DA. Epidemic of self-poisoning with seeds of the yellow oleander tree (Thevetia peruviana) in northern Sri Lanka. Trop Med Int Health. 1999 Apr;4(4):266-73. doi: 10.1046/j.1365-3156.1999.00397.x. PMID: 10357862. (2) https://keys.lucidcentral.org/keys/v3/eafrinet/weeds/key/weeds/Media/Html/Thevetia_peruviana_(Yellow_Oleander).htm</t>
  </si>
  <si>
    <t>Host for recognised pests and pathogens</t>
  </si>
  <si>
    <t>No evidence pests will increase damage or affect current control strategies.</t>
  </si>
  <si>
    <t>Causes allergies or is otherwise toxic to humans</t>
  </si>
  <si>
    <t>Creates a fire hazard in natural ecosystems</t>
  </si>
  <si>
    <t>No evidence. Considered fire resistant (1)</t>
  </si>
  <si>
    <t>(1) https://everde.com/plant/thevetia-peruviana-yellow-oleander/</t>
  </si>
  <si>
    <t>Is a shade tolerant plant at some stage of its life cycle</t>
  </si>
  <si>
    <t>Prefers full o partial sun (1) (2)</t>
  </si>
  <si>
    <t>(1) https://everde.com/plant/thevetia-peruviana-yellow-oleander/ (2) https://plants.rainbowgardens.biz/12250005/Plant/18208/Yellow_Oleander/</t>
  </si>
  <si>
    <t>Grows on infertile soils (oligotrophic, limerock, or excessively draining soils).  North &amp; Central Zones: infertile soils; South Zone: shallow limerock or Histisols.</t>
  </si>
  <si>
    <t>"It prefers fertile, well-drained soils, but can survive on most soils." (1) "Grows best in poor soils, and is able to handle environmental salt." (2)</t>
  </si>
  <si>
    <t>(1) https://weeds.org.au/wp-content/uploads/2020/04/potential.pdf (2) https://plants.rainbowgardens.biz/12250005/Plant/18208/Yellow_Oleander/</t>
  </si>
  <si>
    <t>Climbing or smothering growth habit</t>
  </si>
  <si>
    <t>Forms dense thickets</t>
  </si>
  <si>
    <t>Noted to create dense thickets (1) (2)</t>
  </si>
  <si>
    <t>(1) https://www.cabidigitallibrary.org/doi/full/10.1079/cabicompendium.53608 (2) https://wildlifeofhawaii.com/flowers/author/admin/page/5/</t>
  </si>
  <si>
    <t>Aquatic</t>
  </si>
  <si>
    <t>Grass</t>
  </si>
  <si>
    <t>Not of the poaceae family</t>
  </si>
  <si>
    <t>Nitrogen fixing woody plant</t>
  </si>
  <si>
    <t>Geophyte</t>
  </si>
  <si>
    <t>Evidence of substantial reproductive failure in native habitat</t>
  </si>
  <si>
    <t>Produces viable seed</t>
  </si>
  <si>
    <t>Reproduces by seed (1) (2)</t>
  </si>
  <si>
    <t>(1) https://keys.lucidcentral.org/keys/v3/eafrinet/weeds/key/weeds/Media/Html/Thevetia_peruviana_(Yellow_Oleander).htm (2) https://wildlifeofhawaii.com/flowers/author/admin/page/5/</t>
  </si>
  <si>
    <t>Hybridizes naturally</t>
  </si>
  <si>
    <t>Not enough information found.</t>
  </si>
  <si>
    <t>Self-compatible or apomictic</t>
  </si>
  <si>
    <t>Requires specialist pollinators</t>
  </si>
  <si>
    <t>Attracts hummingbirds and butterflies (1)</t>
  </si>
  <si>
    <t>Reproduction by vegetative propagation</t>
  </si>
  <si>
    <t>Can be propagated by cuttings (1)</t>
  </si>
  <si>
    <t>(1) https://keys.lucidcentral.org/keys/v3/eafrinet/weeds/key/weeds/Media/Html/Thevetia_peruviana_(Yellow_Oleander).htm (2) https://prota.prota4u.org/protav8.asp?g=pe&amp;p=Thevetia+peruviana</t>
  </si>
  <si>
    <t>Minimum generative time (years)</t>
  </si>
  <si>
    <t>Not enough information found. Other assessments state 4 years, but one study state that mature fruits were manually collected 10-12 months after planting (1). Answered UNKNOWN</t>
  </si>
  <si>
    <t>(1) Aboyeji, C.M., and Abayomi, Y.A., (2013). Performance of thevetia peruviana (pers.) schum. under two agronomic management practices (irrigation and application of in-organic fertilizers) in Edidi Souther Nigeria. Journal of Tropical Agriculture, Food, Environment and extension. 12(1) 37-47. https://www.cabidigitallibrary.org/doi/pdf/10.5555/20183282028</t>
  </si>
  <si>
    <t>Propagules likely to be dispersed unintentionally (plants growing in heavily trafficked areas)</t>
  </si>
  <si>
    <t>Described to be spread by garden waste (1) (2)</t>
  </si>
  <si>
    <t>(1) https://www.business.qld.gov.au/industries/farms-fishing-forestry/agriculture/biosecurity/plants/invasive/restricted/captain-cook-tree (2) https://keyserver.lucidcentral.org/weeds/data/media/Html/cascabela_thevetia.htm</t>
  </si>
  <si>
    <t>Propagules dispersed intentionally by people</t>
  </si>
  <si>
    <t>Sold online (1) (2)</t>
  </si>
  <si>
    <t>(1) https://www.moonvalleynurseries.com/products/trees/thevetia (2) https://sheffields.com/seeds-for-sale/Thevetia/peruviana/6084/Luckynut,-Yellow-Oleander/Luckynut,-Yellow-Oleander</t>
  </si>
  <si>
    <t>Propagules likely to disperse as a produce contaminant</t>
  </si>
  <si>
    <t>Propagules adapted to wind dispersal</t>
  </si>
  <si>
    <t>Propagules water dispersed</t>
  </si>
  <si>
    <t>Not enough information found regarding floating potential</t>
  </si>
  <si>
    <t>Propagules bird dispersed</t>
  </si>
  <si>
    <t>Fruits fleshy. Birds observed eating or moving fruits (1) (2)</t>
  </si>
  <si>
    <t>(1) Turaga, J., 2011. Oriental White-eye Zosterops palpebrosus and Purple Sunbird Nectarinia asiatica feeding
on yellow oleander Thevetia peruviana Indian BIRDS 7 (2): 53. https://indianbirds.in/pdfs/IB7.2_Turaga_Oleander.pdf (2) https://besgroup.org/2008/11/24/cockatoos-and-yellow-oleander/</t>
  </si>
  <si>
    <t>Propagules dispersed by other animals (externally)</t>
  </si>
  <si>
    <t>Propagules dispersed by other animals (internally)</t>
  </si>
  <si>
    <t>No evidence of non-avian animals consuming fruits. Potentially reptiles, but not enough information found.</t>
  </si>
  <si>
    <t>Prolific seed production</t>
  </si>
  <si>
    <t>Described to produce 400-800 fruits per year. Each fruit contains one seed. (1)</t>
  </si>
  <si>
    <t>(1) https://jatropha.pro/thevetia-peruviana/</t>
  </si>
  <si>
    <t>Evidence that a persistent propagule bank is formed (&gt;1 yr)</t>
  </si>
  <si>
    <t>Not enough information found</t>
  </si>
  <si>
    <t>Well controlled by herbicides</t>
  </si>
  <si>
    <t xml:space="preserve">Herbicides noted to be effective when combined with mechanical treatments (1) </t>
  </si>
  <si>
    <t>(1) https://www.business.qld.gov.au/industries/farms-fishing-forestry/agriculture/biosecurity/plants/invasive/restricted/captain-cook-tree</t>
  </si>
  <si>
    <t>Tolerates, or benefits from, mutilation or cultivation</t>
  </si>
  <si>
    <t>Given ability to be propagated vegetatively, possible. Noted to coppice well. (1)</t>
  </si>
  <si>
    <t>(1) https://prota.prota4u.org/protav8.asp?g=pe&amp;p=Thevetia+peruviana</t>
  </si>
  <si>
    <t>Effective natural enemies present in U.S.</t>
  </si>
  <si>
    <t>Not enough information</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</si>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</sst>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29" fillId="0" borderId="0" xfId="0" applyFont="1" applyAlignment="1" applyProtection="1">
      <alignment wrapText="1"/>
      <protection locked="0"/>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B1" sqref="B1"/>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47"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row>
    <row r="7" spans="1:8" ht="30.75">
      <c r="A7" s="66">
        <v>2.02</v>
      </c>
      <c r="B7" s="67" t="s">
        <v>17</v>
      </c>
      <c r="C7" s="56">
        <v>3</v>
      </c>
      <c r="D7" s="60"/>
      <c r="E7" s="57"/>
      <c r="F7" s="99" t="s">
        <v>16</v>
      </c>
      <c r="G7" s="64"/>
    </row>
    <row r="8" spans="1:8">
      <c r="A8" s="66">
        <v>2.0299999999999998</v>
      </c>
      <c r="B8" s="67" t="s">
        <v>18</v>
      </c>
      <c r="C8" s="56" t="s">
        <v>19</v>
      </c>
      <c r="D8" s="59">
        <f>IF(C8="y",1,IF(C8="n",0," "))</f>
        <v>1</v>
      </c>
      <c r="E8" s="57"/>
      <c r="F8" s="99" t="s">
        <v>16</v>
      </c>
      <c r="G8" s="99"/>
    </row>
    <row r="9" spans="1:8" ht="121.5">
      <c r="A9" s="66">
        <v>2.04</v>
      </c>
      <c r="B9" s="67" t="s">
        <v>20</v>
      </c>
      <c r="C9" s="56" t="s">
        <v>19</v>
      </c>
      <c r="D9" s="59">
        <f>IF(C9="y",1,IF(C9="n",0," "))</f>
        <v>1</v>
      </c>
      <c r="E9" s="57"/>
      <c r="F9" s="99" t="s">
        <v>16</v>
      </c>
      <c r="G9" s="99"/>
    </row>
    <row r="10" spans="1:8" ht="30.75">
      <c r="A10" s="66">
        <v>2.0499999999999998</v>
      </c>
      <c r="B10" s="67" t="s">
        <v>21</v>
      </c>
      <c r="C10" s="56" t="s">
        <v>19</v>
      </c>
      <c r="D10" s="60"/>
      <c r="E10" s="57"/>
      <c r="F10" s="58" t="s">
        <v>22</v>
      </c>
      <c r="G10" s="58" t="s">
        <v>23</v>
      </c>
    </row>
    <row r="11" spans="1:8">
      <c r="A11" s="66">
        <v>3.01</v>
      </c>
      <c r="B11" s="67" t="s">
        <v>24</v>
      </c>
      <c r="C11" s="56" t="s">
        <v>19</v>
      </c>
      <c r="D11" s="59">
        <f>IF(C11="n",LOOKUP($C$10,LUT!$I$13:$L$13,LUT!$I$14:$L$14),IF(AND(C11="y",AND($C$6=1,$C$7=1)),2,IF(AND(C11="y",AND($C$6=1,$C$7=2)),1,IF(AND(C11="y",AND($C$6=1,$C$7=3)),1,IF(AND(C11="y",AND($C$6=2,$C$7=1)),2,IF(AND(C11="y",AND($C$6=2,$C$7=2)),2,IF(AND(C11="y",AND($C$6=2,$C$7=3)),1,IF(AND(C11="y",AND($C$6=3,$C$7=1)),2,IF(AND(C11="y",AND($C$6=3,$C$7=2)),2,IF(AND(C11="y",AND($C$6=3,$C$7=3)),2,""))))))))))</f>
        <v>2</v>
      </c>
      <c r="E11" s="57"/>
      <c r="F11" s="58" t="s">
        <v>25</v>
      </c>
      <c r="G11" s="58" t="s">
        <v>26</v>
      </c>
    </row>
    <row r="12" spans="1:8" ht="67.5">
      <c r="A12" s="66">
        <v>3.02</v>
      </c>
      <c r="B12" s="67" t="s">
        <v>27</v>
      </c>
      <c r="C12" s="56" t="s">
        <v>19</v>
      </c>
      <c r="D12" s="59">
        <f>IF(C12="n",LOOKUP($C$10,LUT!$I$13:$L$13,LUT!$I$15:$L$15),IF(AND(C12="y",AND($C$6=1,$C$7=1)),2,IF(AND(C12="y",AND($C$6=1,$C$7=2)),1,IF(AND(C12="y",AND($C$6=1,$C$7=3)),1,IF(AND(C12="y",AND($C$6=2,$C$7=1)),2,IF(AND(C12="y",AND($C$6=2,$C$7=2)),2,IF(AND(C12="y",AND($C$6=2,$C$7=3)),1,IF(AND(C12="y",AND($C$6=3,$C$7=1)),2,IF(AND(C12="y",AND($C$6=3,$C$7=2)),2,IF(AND(C12="y",AND($C$6=3,$C$7=3)),2,""))))))))))</f>
        <v>2</v>
      </c>
      <c r="E12" s="57"/>
      <c r="F12" s="101" t="s">
        <v>28</v>
      </c>
      <c r="G12" s="56" t="s">
        <v>29</v>
      </c>
    </row>
    <row r="13" spans="1:8">
      <c r="A13" s="66">
        <v>3.03</v>
      </c>
      <c r="B13" s="67" t="s">
        <v>30</v>
      </c>
      <c r="C13" s="56" t="s">
        <v>31</v>
      </c>
      <c r="D13" s="59" t="str">
        <f>IF(C13="n",LOOKUP($C$10,LUT!$I$13:$L$13,LUT!$I$15:$L$15),IF(AND(C13="y",AND($C$6=1,$C$7=1)),4,IF(AND(C13="y",AND($C$6=1,$C$7=2)),2,IF(AND(C13="y",AND($C$6=1,$C$7=3)),1,IF(AND(C13="y",AND($C$6=2,$C$7=1)),4,IF(AND(C13="y",AND($C$6=2,$C$7=2)),3,IF(AND(C13="y",AND($C$6=2,$C$7=3)),2,IF(AND(C13="y",AND($C$6=3,$C$7=1)),4,IF(AND(C13="y",AND($C$6=3,$C$7=2)),4,IF(AND(C13="y",AND($C$6=3,$C$7=3)),4,""))))))))))</f>
        <v/>
      </c>
      <c r="E13" s="57"/>
      <c r="F13" s="100" t="s">
        <v>32</v>
      </c>
      <c r="G13" s="64"/>
    </row>
    <row r="14" spans="1:8" ht="152.25">
      <c r="A14" s="66">
        <v>3.04</v>
      </c>
      <c r="B14" s="67" t="s">
        <v>33</v>
      </c>
      <c r="C14" s="56" t="s">
        <v>19</v>
      </c>
      <c r="D14" s="59">
        <f>IF(C14="n",LOOKUP($C$10,LUT!$I$13:$L$13,LUT!$I$15:$L$15),IF(AND(C14="y",AND($C$6=1,$C$7=1)),4,IF(AND(C14="y",AND($C$6=1,$C$7=2)),2,IF(AND(C14="y",AND($C$6=1,$C$7=3)),1,IF(AND(C14="y",AND($C$6=2,$C$7=1)),4,IF(AND(C14="y",AND($C$6=2,$C$7=2)),3,IF(AND(C14="y",AND($C$6=2,$C$7=3)),2,IF(AND(C14="y",AND($C$6=3,$C$7=1)),4,IF(AND(C14="y",AND($C$6=3,$C$7=2)),4,IF(AND(C14="y",AND($C$6=3,$C$7=3)),4,""))))))))))</f>
        <v>4</v>
      </c>
      <c r="E14" s="57"/>
      <c r="F14" s="64" t="s">
        <v>34</v>
      </c>
      <c r="G14" s="64" t="s">
        <v>35</v>
      </c>
    </row>
    <row r="15" spans="1:8">
      <c r="A15" s="66">
        <v>3.05</v>
      </c>
      <c r="B15" s="67" t="s">
        <v>36</v>
      </c>
      <c r="C15" s="56" t="s">
        <v>11</v>
      </c>
      <c r="D15" s="59">
        <f>IF(C15="n",LOOKUP($C$10,LUT!$I$13:$L$13,LUT!$I$15:$L$15),IF(AND(C15="y",AND($C$6=1,$C$7=1)),2,IF(AND(C15="y",AND($C$6=1,$C$7=2)),1,IF(AND(C15="y",AND($C$6=1,$C$7=3)),1,IF(AND(C15="y",AND($C$6=2,$C$7=1)),2,IF(AND(C15="y",AND($C$6=2,$C$7=2)),2,IF(AND(C15="y",AND($C$6=2,$C$7=3)),1,IF(AND(C15="y",AND($C$6=3,$C$7=1)),2,IF(AND(C15="y",AND($C$6=3,$C$7=2)),2,IF(AND(C15="y",AND($C$6=3,$C$7=3)),2,""))))))))))</f>
        <v>0</v>
      </c>
      <c r="E15" s="57"/>
      <c r="F15" s="64" t="s">
        <v>12</v>
      </c>
      <c r="G15" s="64"/>
    </row>
    <row r="16" spans="1:8">
      <c r="A16" s="66">
        <v>4.01</v>
      </c>
      <c r="B16" s="67" t="s">
        <v>37</v>
      </c>
      <c r="C16" s="56" t="s">
        <v>11</v>
      </c>
      <c r="D16" s="59">
        <f>IF(C16="y",VLOOKUP(LUT!C17,LUT!$C$4:$E$52,3),IF(C16="n",VLOOKUP(LUT!C17,LUT!$C$4:$E$52,2)," "))</f>
        <v>0</v>
      </c>
      <c r="E16" s="57"/>
      <c r="F16" s="64" t="s">
        <v>12</v>
      </c>
      <c r="G16" s="64"/>
    </row>
    <row r="17" spans="1:7" ht="30.75">
      <c r="A17" s="66">
        <v>4.0199999999999996</v>
      </c>
      <c r="B17" s="67" t="s">
        <v>38</v>
      </c>
      <c r="C17" s="56" t="s">
        <v>31</v>
      </c>
      <c r="D17" s="59" t="str">
        <f>IF(C17="y",VLOOKUP(LUT!C18,LUT!C4:E52,3),IF(C17="n",VLOOKUP(LUT!C18,LUT!C4:E52,2)," "))</f>
        <v xml:space="preserve"> </v>
      </c>
      <c r="E17" s="57"/>
      <c r="F17" s="64" t="s">
        <v>39</v>
      </c>
      <c r="G17" s="64" t="s">
        <v>40</v>
      </c>
    </row>
    <row r="18" spans="1:7">
      <c r="A18" s="66">
        <v>4.03</v>
      </c>
      <c r="B18" s="67" t="s">
        <v>41</v>
      </c>
      <c r="C18" s="56" t="s">
        <v>11</v>
      </c>
      <c r="D18" s="59">
        <f>IF(C18="y",VLOOKUP(LUT!C19,LUT!$C$4:$E$52,3),IF(C18="n",VLOOKUP(LUT!C19,LUT!$C$4:$E$52,2)," "))</f>
        <v>0</v>
      </c>
      <c r="E18" s="57"/>
      <c r="F18" s="64" t="s">
        <v>12</v>
      </c>
      <c r="G18" s="64"/>
    </row>
    <row r="19" spans="1:7">
      <c r="A19" s="66">
        <v>4.04</v>
      </c>
      <c r="B19" s="67" t="s">
        <v>42</v>
      </c>
      <c r="C19" s="56" t="s">
        <v>19</v>
      </c>
      <c r="D19" s="59">
        <f>IF(C19="y",VLOOKUP(LUT!C20,LUT!$C$4:$E$52,3),IF(C19="n",VLOOKUP(LUT!C20,LUT!$C$4:$E$52,2)," "))</f>
        <v>1</v>
      </c>
      <c r="E19" s="57"/>
      <c r="F19" s="64" t="s">
        <v>43</v>
      </c>
      <c r="G19" s="64"/>
    </row>
    <row r="20" spans="1:7" ht="152.25">
      <c r="A20" s="66">
        <v>4.05</v>
      </c>
      <c r="B20" s="67" t="s">
        <v>44</v>
      </c>
      <c r="C20" s="56" t="s">
        <v>19</v>
      </c>
      <c r="D20" s="59">
        <f>IF(C20="y",VLOOKUP(LUT!C21,LUT!$C$4:$E$52,3),IF(C20="n",VLOOKUP(LUT!C21,LUT!$C$4:$E$52,2)," "))</f>
        <v>1</v>
      </c>
      <c r="E20" s="57"/>
      <c r="F20" s="64" t="s">
        <v>45</v>
      </c>
      <c r="G20" s="64" t="s">
        <v>46</v>
      </c>
    </row>
    <row r="21" spans="1:7" ht="30.75">
      <c r="A21" s="66">
        <v>4.0599999999999996</v>
      </c>
      <c r="B21" s="67" t="s">
        <v>47</v>
      </c>
      <c r="C21" s="56" t="s">
        <v>11</v>
      </c>
      <c r="D21" s="59">
        <f>IF(C21="y",VLOOKUP(LUT!C22,LUT!$C$4:$E$52,3),IF(C21="n",VLOOKUP(LUT!C22,LUT!$C$4:$E$52,2)," "))</f>
        <v>0</v>
      </c>
      <c r="E21" s="57"/>
      <c r="F21" s="64" t="s">
        <v>48</v>
      </c>
      <c r="G21" s="64"/>
    </row>
    <row r="22" spans="1:7" ht="152.25">
      <c r="A22" s="66">
        <v>4.07</v>
      </c>
      <c r="B22" s="67" t="s">
        <v>49</v>
      </c>
      <c r="C22" s="56" t="s">
        <v>19</v>
      </c>
      <c r="D22" s="59">
        <f>IF(C22="y",VLOOKUP(LUT!C23,LUT!$C$4:$E$52,3),IF(C22="n",VLOOKUP(LUT!C23,LUT!$C$4:$E$52,2)," "))</f>
        <v>1</v>
      </c>
      <c r="E22" s="57"/>
      <c r="F22" s="64" t="s">
        <v>45</v>
      </c>
      <c r="G22" s="64" t="s">
        <v>46</v>
      </c>
    </row>
    <row r="23" spans="1:7" ht="30.75">
      <c r="A23" s="66">
        <v>4.08</v>
      </c>
      <c r="B23" s="67" t="s">
        <v>50</v>
      </c>
      <c r="C23" s="56" t="s">
        <v>11</v>
      </c>
      <c r="D23" s="59">
        <f>IF(C23="y",VLOOKUP(LUT!C24,LUT!$C$4:$E$52,3),IF(C23="n",VLOOKUP(LUT!C24,LUT!$C$4:$E$52,2)," "))</f>
        <v>0</v>
      </c>
      <c r="E23" s="57"/>
      <c r="F23" s="64" t="s">
        <v>51</v>
      </c>
      <c r="G23" s="64" t="s">
        <v>52</v>
      </c>
    </row>
    <row r="24" spans="1:7" ht="60.75">
      <c r="A24" s="66">
        <v>4.09</v>
      </c>
      <c r="B24" s="67" t="s">
        <v>53</v>
      </c>
      <c r="C24" s="56" t="s">
        <v>11</v>
      </c>
      <c r="D24" s="59">
        <f>IF(C24="y",VLOOKUP(LUT!C25,LUT!$C$4:$E$52,3),IF(C24="n",VLOOKUP(LUT!C25,LUT!$C$4:$E$52,2)," "))</f>
        <v>0</v>
      </c>
      <c r="E24" s="57"/>
      <c r="F24" s="64" t="s">
        <v>54</v>
      </c>
      <c r="G24" s="64" t="s">
        <v>55</v>
      </c>
    </row>
    <row r="25" spans="1:7" ht="60.75">
      <c r="A25" s="66">
        <v>4.0999999999999996</v>
      </c>
      <c r="B25" s="68" t="s">
        <v>56</v>
      </c>
      <c r="C25" s="56" t="s">
        <v>19</v>
      </c>
      <c r="D25" s="59">
        <f>IF(C25="y",VLOOKUP(LUT!C26,LUT!$C$4:$E$52,3),IF(C25="n",VLOOKUP(LUT!C26,LUT!$C$4:$E$52,2)," "))</f>
        <v>1</v>
      </c>
      <c r="E25" s="57"/>
      <c r="F25" s="64" t="s">
        <v>57</v>
      </c>
      <c r="G25" s="64" t="s">
        <v>58</v>
      </c>
    </row>
    <row r="26" spans="1:7">
      <c r="A26" s="66">
        <v>4.1100000000000003</v>
      </c>
      <c r="B26" s="67" t="s">
        <v>59</v>
      </c>
      <c r="C26" s="56" t="s">
        <v>11</v>
      </c>
      <c r="D26" s="59">
        <f>IF(C26="y",VLOOKUP(LUT!C27,LUT!$C$4:$E$52,3),IF(C26="n",VLOOKUP(LUT!C27,LUT!$C$4:$E$52,2)," "))</f>
        <v>0</v>
      </c>
      <c r="E26" s="57"/>
      <c r="F26" s="64" t="s">
        <v>12</v>
      </c>
      <c r="G26" s="64"/>
    </row>
    <row r="27" spans="1:7" ht="60.75">
      <c r="A27" s="66">
        <v>4.12</v>
      </c>
      <c r="B27" s="67" t="s">
        <v>60</v>
      </c>
      <c r="C27" s="56" t="s">
        <v>19</v>
      </c>
      <c r="D27" s="59">
        <f>IF(C27="y",VLOOKUP(LUT!C28,LUT!$C$4:$E$52,3),IF(C27="n",VLOOKUP(LUT!C28,LUT!$C$4:$E$52,2)," "))</f>
        <v>1</v>
      </c>
      <c r="E27" s="57"/>
      <c r="F27" s="64" t="s">
        <v>61</v>
      </c>
      <c r="G27" s="64" t="s">
        <v>62</v>
      </c>
    </row>
    <row r="28" spans="1:7">
      <c r="A28" s="66">
        <v>5.01</v>
      </c>
      <c r="B28" s="67" t="s">
        <v>63</v>
      </c>
      <c r="C28" s="56" t="s">
        <v>11</v>
      </c>
      <c r="D28" s="59">
        <f>IF(C28="y",VLOOKUP(LUT!C29,LUT!$C$4:$E$52,3),IF(C28="n",VLOOKUP(LUT!C29,LUT!$C$4:$E$52,2)," "))</f>
        <v>0</v>
      </c>
      <c r="E28" s="57"/>
      <c r="F28" s="64" t="s">
        <v>12</v>
      </c>
      <c r="G28" s="64"/>
    </row>
    <row r="29" spans="1:7">
      <c r="A29" s="66">
        <v>5.0199999999999996</v>
      </c>
      <c r="B29" s="67" t="s">
        <v>64</v>
      </c>
      <c r="C29" s="56" t="s">
        <v>11</v>
      </c>
      <c r="D29" s="59">
        <f>IF(C29="y",VLOOKUP(LUT!C30,LUT!$C$4:$E$52,3),IF(C29="n",VLOOKUP(LUT!C30,LUT!$C$4:$E$52,2)," "))</f>
        <v>0</v>
      </c>
      <c r="E29" s="57"/>
      <c r="F29" s="64" t="s">
        <v>65</v>
      </c>
      <c r="G29" s="64"/>
    </row>
    <row r="30" spans="1:7">
      <c r="A30" s="66">
        <v>5.03</v>
      </c>
      <c r="B30" s="67" t="s">
        <v>66</v>
      </c>
      <c r="C30" s="56" t="s">
        <v>11</v>
      </c>
      <c r="D30" s="59">
        <f>IF(C30="y",VLOOKUP(LUT!C31,LUT!$C$4:$E$52,3),IF(C30="n",VLOOKUP(LUT!C31,LUT!$C$4:$E$52,2)," "))</f>
        <v>0</v>
      </c>
      <c r="E30" s="57"/>
      <c r="F30" s="64" t="s">
        <v>12</v>
      </c>
      <c r="G30" s="64"/>
    </row>
    <row r="31" spans="1:7">
      <c r="A31" s="66">
        <v>5.04</v>
      </c>
      <c r="B31" s="67" t="s">
        <v>67</v>
      </c>
      <c r="C31" s="56" t="s">
        <v>11</v>
      </c>
      <c r="D31" s="59">
        <f>IF(C31="y",VLOOKUP(LUT!C32,LUT!$C$4:$E$52,3),IF(C31="n",VLOOKUP(LUT!C32,LUT!$C$4:$E$52,2)," "))</f>
        <v>0</v>
      </c>
      <c r="E31" s="57"/>
      <c r="F31" s="64" t="s">
        <v>12</v>
      </c>
      <c r="G31" s="64"/>
    </row>
    <row r="32" spans="1:7" ht="30.75">
      <c r="A32" s="66">
        <v>6.01</v>
      </c>
      <c r="B32" s="67" t="s">
        <v>68</v>
      </c>
      <c r="C32" s="56" t="s">
        <v>11</v>
      </c>
      <c r="D32" s="59">
        <f>IF(C32="y",VLOOKUP(LUT!C33,LUT!$C$4:$E$52,3),IF(C32="n",VLOOKUP(LUT!C33,LUT!$C$4:$E$52,2)," "))</f>
        <v>0</v>
      </c>
      <c r="E32" s="57"/>
      <c r="F32" s="64" t="s">
        <v>12</v>
      </c>
      <c r="G32" s="64"/>
    </row>
    <row r="33" spans="1:7" ht="76.5">
      <c r="A33" s="66">
        <v>6.02</v>
      </c>
      <c r="B33" s="67" t="s">
        <v>69</v>
      </c>
      <c r="C33" s="56" t="s">
        <v>19</v>
      </c>
      <c r="D33" s="59">
        <f>IF(C33="y",VLOOKUP(LUT!C34,LUT!$C$4:$E$52,3),IF(C33="n",VLOOKUP(LUT!C34,LUT!$C$4:$E$52,2)," "))</f>
        <v>1</v>
      </c>
      <c r="E33" s="57"/>
      <c r="F33" s="64" t="s">
        <v>70</v>
      </c>
      <c r="G33" s="64" t="s">
        <v>71</v>
      </c>
    </row>
    <row r="34" spans="1:7">
      <c r="A34" s="66">
        <v>6.03</v>
      </c>
      <c r="B34" s="67" t="s">
        <v>72</v>
      </c>
      <c r="C34" s="56" t="s">
        <v>31</v>
      </c>
      <c r="D34" s="59" t="str">
        <f>IF(C34="y",VLOOKUP(LUT!C35,LUT!$C$4:$E$52,3),IF(C34="n",VLOOKUP(LUT!C35,LUT!$C$4:$E$52,2)," "))</f>
        <v xml:space="preserve"> </v>
      </c>
      <c r="E34" s="57"/>
      <c r="F34" s="64" t="s">
        <v>73</v>
      </c>
      <c r="G34" s="64"/>
    </row>
    <row r="35" spans="1:7">
      <c r="A35" s="66">
        <v>6.04</v>
      </c>
      <c r="B35" s="67" t="s">
        <v>74</v>
      </c>
      <c r="C35" s="56" t="s">
        <v>31</v>
      </c>
      <c r="D35" s="59" t="str">
        <f>IF(C35="y",VLOOKUP(LUT!C36,LUT!$C$4:$E$52,3),IF(C35="n",VLOOKUP(LUT!C36,LUT!$C$4:$E$52,2)," "))</f>
        <v xml:space="preserve"> </v>
      </c>
      <c r="E35" s="57"/>
      <c r="F35" s="64" t="s">
        <v>73</v>
      </c>
      <c r="G35" s="64"/>
    </row>
    <row r="36" spans="1:7" ht="30.75">
      <c r="A36" s="66">
        <v>6.05</v>
      </c>
      <c r="B36" s="67" t="s">
        <v>75</v>
      </c>
      <c r="C36" s="56" t="s">
        <v>11</v>
      </c>
      <c r="D36" s="59">
        <f>IF(C36="y",VLOOKUP(LUT!C37,LUT!$C$4:$E$52,3),IF(C36="n",VLOOKUP(LUT!C37,LUT!$C$4:$E$52,2)," "))</f>
        <v>0</v>
      </c>
      <c r="E36" s="57"/>
      <c r="F36" s="64" t="s">
        <v>76</v>
      </c>
      <c r="G36" s="64" t="s">
        <v>52</v>
      </c>
    </row>
    <row r="37" spans="1:7" ht="76.5">
      <c r="A37" s="66">
        <v>6.06</v>
      </c>
      <c r="B37" s="67" t="s">
        <v>77</v>
      </c>
      <c r="C37" s="56" t="s">
        <v>19</v>
      </c>
      <c r="D37" s="59">
        <f>IF(C37="y",VLOOKUP(LUT!C38,LUT!$C$4:$E$52,3),IF(C37="n",VLOOKUP(LUT!C38,LUT!$C$4:$E$52,2)," "))</f>
        <v>1</v>
      </c>
      <c r="E37" s="57"/>
      <c r="F37" s="64" t="s">
        <v>78</v>
      </c>
      <c r="G37" s="64" t="s">
        <v>79</v>
      </c>
    </row>
    <row r="38" spans="1:7" ht="137.25">
      <c r="A38" s="66">
        <v>6.07</v>
      </c>
      <c r="B38" s="67" t="s">
        <v>80</v>
      </c>
      <c r="C38" s="84" t="s">
        <v>31</v>
      </c>
      <c r="D38" s="59" t="str">
        <f>IF(C38="1 or fewer",1,IF(C38="2 or 3",0,IF(C38&gt;="4 or more",-1," ")))</f>
        <v xml:space="preserve"> </v>
      </c>
      <c r="E38" s="57"/>
      <c r="F38" s="64" t="s">
        <v>81</v>
      </c>
      <c r="G38" s="64" t="s">
        <v>82</v>
      </c>
    </row>
    <row r="39" spans="1:7" ht="76.5">
      <c r="A39" s="66">
        <v>7.01</v>
      </c>
      <c r="B39" s="67" t="s">
        <v>83</v>
      </c>
      <c r="C39" s="56" t="s">
        <v>19</v>
      </c>
      <c r="D39" s="59">
        <f>IF(C39="y",VLOOKUP(LUT!C40,LUT!$C$4:$E$52,3),IF(C39="n",VLOOKUP(LUT!C40,LUT!$C$4:$E$52,2)," "))</f>
        <v>1</v>
      </c>
      <c r="E39" s="57"/>
      <c r="F39" s="101" t="s">
        <v>84</v>
      </c>
      <c r="G39" s="56" t="s">
        <v>85</v>
      </c>
    </row>
    <row r="40" spans="1:7" ht="76.5">
      <c r="A40" s="66">
        <v>7.02</v>
      </c>
      <c r="B40" s="67" t="s">
        <v>86</v>
      </c>
      <c r="C40" s="56" t="s">
        <v>19</v>
      </c>
      <c r="D40" s="59">
        <f>IF(C40="y",VLOOKUP(LUT!C41,LUT!$C$4:$E$52,3),IF(C40="n",VLOOKUP(LUT!C41,LUT!$C$4:$E$52,2)," "))</f>
        <v>1</v>
      </c>
      <c r="E40" s="57"/>
      <c r="F40" s="64" t="s">
        <v>87</v>
      </c>
      <c r="G40" s="64" t="s">
        <v>88</v>
      </c>
    </row>
    <row r="41" spans="1:7" ht="30.75">
      <c r="A41" s="66">
        <v>7.03</v>
      </c>
      <c r="B41" s="67" t="s">
        <v>89</v>
      </c>
      <c r="C41" s="56" t="s">
        <v>11</v>
      </c>
      <c r="D41" s="59">
        <f>IF(C41="y",VLOOKUP(LUT!C42,LUT!$C$4:$E$52,3),IF(C41="n",VLOOKUP(LUT!C42,LUT!$C$4:$E$52,2)," "))</f>
        <v>-1</v>
      </c>
      <c r="E41" s="57"/>
      <c r="F41" s="64" t="s">
        <v>12</v>
      </c>
      <c r="G41" s="64"/>
    </row>
    <row r="42" spans="1:7">
      <c r="A42" s="66">
        <v>7.04</v>
      </c>
      <c r="B42" s="67" t="s">
        <v>90</v>
      </c>
      <c r="C42" s="56" t="s">
        <v>11</v>
      </c>
      <c r="D42" s="59">
        <f>IF(C42="y",VLOOKUP(LUT!C43,LUT!$C$4:$E$52,3),IF(C42="n",VLOOKUP(LUT!C43,LUT!$C$4:$E$52,2)," "))</f>
        <v>-1</v>
      </c>
      <c r="E42" s="57"/>
      <c r="F42" s="64" t="s">
        <v>12</v>
      </c>
      <c r="G42" s="64"/>
    </row>
    <row r="43" spans="1:7">
      <c r="A43" s="66">
        <v>7.05</v>
      </c>
      <c r="B43" s="67" t="s">
        <v>91</v>
      </c>
      <c r="C43" s="56" t="s">
        <v>31</v>
      </c>
      <c r="D43" s="59" t="str">
        <f>IF(C43="y",VLOOKUP(LUT!C44,LUT!$C$4:$E$52,3),IF(C43="n",VLOOKUP(LUT!C44,LUT!$C$4:$E$52,2)," "))</f>
        <v xml:space="preserve"> </v>
      </c>
      <c r="E43" s="57"/>
      <c r="F43" s="64" t="s">
        <v>92</v>
      </c>
      <c r="G43" s="64"/>
    </row>
    <row r="44" spans="1:7" ht="121.5">
      <c r="A44" s="66">
        <v>7.06</v>
      </c>
      <c r="B44" s="67" t="s">
        <v>93</v>
      </c>
      <c r="C44" s="56" t="s">
        <v>19</v>
      </c>
      <c r="D44" s="59">
        <f>IF(C44="y",VLOOKUP(LUT!C45,LUT!$C$4:$E$52,3),IF(C44="n",VLOOKUP(LUT!C45,LUT!$C$4:$E$52,2)," "))</f>
        <v>1</v>
      </c>
      <c r="E44" s="57"/>
      <c r="F44" s="64" t="s">
        <v>94</v>
      </c>
      <c r="G44" s="64" t="s">
        <v>95</v>
      </c>
    </row>
    <row r="45" spans="1:7">
      <c r="A45" s="66">
        <v>7.07</v>
      </c>
      <c r="B45" s="67" t="s">
        <v>96</v>
      </c>
      <c r="C45" s="56" t="s">
        <v>11</v>
      </c>
      <c r="D45" s="59">
        <f>IF(C45="y",VLOOKUP(LUT!C46,LUT!$C$4:$E$52,3),IF(C45="n",VLOOKUP(LUT!C46,LUT!$C$4:$E$52,2)," "))</f>
        <v>-1</v>
      </c>
      <c r="E45" s="57"/>
      <c r="F45" s="64" t="s">
        <v>12</v>
      </c>
      <c r="G45" s="64"/>
    </row>
    <row r="46" spans="1:7" ht="30.75">
      <c r="A46" s="66">
        <v>7.08</v>
      </c>
      <c r="B46" s="67" t="s">
        <v>97</v>
      </c>
      <c r="C46" s="56" t="s">
        <v>11</v>
      </c>
      <c r="D46" s="59">
        <f>IF(C46="y",VLOOKUP(LUT!C47,LUT!$C$4:$E$52,3),IF(C46="n",VLOOKUP(LUT!C47,LUT!$C$4:$E$52,2)," "))</f>
        <v>-1</v>
      </c>
      <c r="E46" s="57"/>
      <c r="F46" s="64" t="s">
        <v>98</v>
      </c>
      <c r="G46" s="64"/>
    </row>
    <row r="47" spans="1:7" ht="30.75">
      <c r="A47" s="66">
        <v>8.01</v>
      </c>
      <c r="B47" s="67" t="s">
        <v>99</v>
      </c>
      <c r="C47" s="56" t="s">
        <v>11</v>
      </c>
      <c r="D47" s="59">
        <f>IF(C47="y",VLOOKUP(LUT!C48,LUT!$C$4:$E$52,3),IF(C47="n",VLOOKUP(LUT!C48,LUT!$C$4:$E$52,2)," "))</f>
        <v>-1</v>
      </c>
      <c r="E47" s="57"/>
      <c r="F47" s="64" t="s">
        <v>100</v>
      </c>
      <c r="G47" s="64" t="s">
        <v>101</v>
      </c>
    </row>
    <row r="48" spans="1:7" ht="30.75">
      <c r="A48" s="66">
        <v>8.02</v>
      </c>
      <c r="B48" s="67" t="s">
        <v>102</v>
      </c>
      <c r="C48" s="56" t="s">
        <v>31</v>
      </c>
      <c r="D48" s="59" t="str">
        <f>IF(C48="y",VLOOKUP(LUT!C49,LUT!$C$4:$E$52,3),IF(C48="n",VLOOKUP(LUT!C49,LUT!$C$4:$E$52,2)," "))</f>
        <v xml:space="preserve"> </v>
      </c>
      <c r="E48" s="57"/>
      <c r="F48" s="64" t="s">
        <v>103</v>
      </c>
      <c r="G48" s="64"/>
    </row>
    <row r="49" spans="1:7" ht="45.75">
      <c r="A49" s="66">
        <v>8.0299999999999994</v>
      </c>
      <c r="B49" s="67" t="s">
        <v>104</v>
      </c>
      <c r="C49" s="56" t="s">
        <v>19</v>
      </c>
      <c r="D49" s="59">
        <f>IF(C49="y",VLOOKUP(LUT!C50,LUT!$C$4:$E$52,3),IF(C49="n",VLOOKUP(LUT!C50,LUT!$C$4:$E$52,2)," "))</f>
        <v>-1</v>
      </c>
      <c r="E49" s="57"/>
      <c r="F49" s="64" t="s">
        <v>105</v>
      </c>
      <c r="G49" s="64" t="s">
        <v>106</v>
      </c>
    </row>
    <row r="50" spans="1:7" ht="30.75">
      <c r="A50" s="66">
        <v>8.0399999999999991</v>
      </c>
      <c r="B50" s="67" t="s">
        <v>107</v>
      </c>
      <c r="C50" s="56" t="s">
        <v>19</v>
      </c>
      <c r="D50" s="59">
        <f>IF(C50="y",VLOOKUP(LUT!C51,LUT!$C$4:$E$52,3),IF(C50="n",VLOOKUP(LUT!C51,LUT!$C$4:$E$52,2)," "))</f>
        <v>1</v>
      </c>
      <c r="E50" s="57"/>
      <c r="F50" s="64" t="s">
        <v>108</v>
      </c>
      <c r="G50" s="64" t="s">
        <v>109</v>
      </c>
    </row>
    <row r="51" spans="1:7">
      <c r="A51" s="66">
        <v>8.0500000000000007</v>
      </c>
      <c r="B51" s="67" t="s">
        <v>110</v>
      </c>
      <c r="C51" s="56" t="s">
        <v>31</v>
      </c>
      <c r="D51" s="59" t="str">
        <f>IF(C51="y",VLOOKUP(LUT!C52,LUT!$C$4:$E$52,3),IF(C51="n",VLOOKUP(LUT!C52,LUT!$C$4:$E$52,2)," "))</f>
        <v xml:space="preserve"> </v>
      </c>
      <c r="E51" s="57"/>
      <c r="F51" s="64" t="s">
        <v>111</v>
      </c>
      <c r="G51" s="64"/>
    </row>
    <row r="52" spans="1:7" ht="15.95" thickBot="1">
      <c r="A52" s="87"/>
      <c r="B52" s="86"/>
      <c r="C52" s="56"/>
      <c r="D52" s="56"/>
      <c r="E52" s="57"/>
      <c r="F52" s="56"/>
      <c r="G52" s="56"/>
    </row>
    <row r="53" spans="1:7" ht="29.25" customHeight="1" thickTop="1">
      <c r="A53" s="56"/>
      <c r="B53" s="56"/>
      <c r="C53" s="69" t="s">
        <v>112</v>
      </c>
      <c r="D53" s="61">
        <f>SUM(D3:D51)</f>
        <v>15</v>
      </c>
      <c r="E53" s="62"/>
      <c r="F53" s="56"/>
      <c r="G53" s="56"/>
    </row>
    <row r="54" spans="1:7" ht="33" customHeight="1" thickBot="1">
      <c r="A54" s="56"/>
      <c r="B54" s="56"/>
      <c r="C54" s="70" t="s">
        <v>113</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114</v>
      </c>
      <c r="C56" s="23" t="s">
        <v>115</v>
      </c>
      <c r="D56" s="19" t="s">
        <v>116</v>
      </c>
      <c r="E56" s="62"/>
      <c r="F56" s="63"/>
      <c r="G56" s="56"/>
    </row>
    <row r="57" spans="1:7" ht="17.100000000000001" thickTop="1">
      <c r="A57" s="56"/>
      <c r="B57" s="28" t="s">
        <v>117</v>
      </c>
      <c r="C57" s="24">
        <f>COUNTIF(C3:C15, "y")+COUNTIF(C3:C15, "n")+COUNTIF(C6:C7, "1")+COUNTIF(C6:C7, "2")+COUNTIF(C6:C7, "3")</f>
        <v>10</v>
      </c>
      <c r="D57" s="20" t="str">
        <f>IF(C57&gt;=2,"yes","no")</f>
        <v>yes</v>
      </c>
      <c r="E57" s="62"/>
      <c r="F57" s="56"/>
      <c r="G57" s="56"/>
    </row>
    <row r="58" spans="1:7" ht="15.95">
      <c r="A58" s="56"/>
      <c r="B58" s="29" t="s">
        <v>118</v>
      </c>
      <c r="C58" s="24">
        <f>COUNTIF(C16:C27,"y")+COUNTIF(C16:C27,"n")</f>
        <v>11</v>
      </c>
      <c r="D58" s="20" t="str">
        <f>IF(C58&gt;=2,"yes","no")</f>
        <v>yes</v>
      </c>
      <c r="E58" s="62"/>
      <c r="F58" s="56"/>
      <c r="G58" s="56"/>
    </row>
    <row r="59" spans="1:7" ht="15.95">
      <c r="A59" s="56"/>
      <c r="B59" s="28" t="s">
        <v>119</v>
      </c>
      <c r="C59" s="24">
        <f>COUNTIF(C28:C51,"y")+COUNTIF(C28:C51, "n")+COUNT(C28:C51)</f>
        <v>18</v>
      </c>
      <c r="D59" s="20" t="str">
        <f>IF(C59&gt;=6,"yes","no")</f>
        <v>yes</v>
      </c>
      <c r="E59" s="62"/>
      <c r="F59" s="56"/>
      <c r="G59" s="56"/>
    </row>
    <row r="60" spans="1:7" ht="17.100000000000001" thickBot="1">
      <c r="A60" s="56"/>
      <c r="B60" s="25" t="s">
        <v>120</v>
      </c>
      <c r="C60" s="26">
        <f>SUM(C57:C59)</f>
        <v>39</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7" t="s">
        <v>121</v>
      </c>
      <c r="C63" s="107"/>
      <c r="D63" s="107"/>
      <c r="E63" s="62"/>
      <c r="F63" s="56"/>
      <c r="G63" s="56"/>
    </row>
    <row r="64" spans="1:7" ht="15.95" thickBot="1">
      <c r="A64" s="56"/>
      <c r="B64" s="108" t="s">
        <v>122</v>
      </c>
      <c r="C64" s="109"/>
      <c r="D64" s="110"/>
      <c r="E64" s="62"/>
      <c r="F64" s="56"/>
      <c r="G64" s="56"/>
    </row>
    <row r="65" spans="1:7">
      <c r="A65" s="56">
        <v>9.01</v>
      </c>
      <c r="B65" s="71" t="s">
        <v>123</v>
      </c>
      <c r="C65" s="111"/>
      <c r="D65" s="112"/>
      <c r="E65" s="62"/>
      <c r="F65" s="56"/>
      <c r="G65" s="56"/>
    </row>
    <row r="66" spans="1:7">
      <c r="A66" s="56">
        <v>9.02</v>
      </c>
      <c r="B66" s="71" t="s">
        <v>124</v>
      </c>
      <c r="C66" s="113"/>
      <c r="D66" s="114"/>
      <c r="E66" s="62"/>
      <c r="F66" s="56"/>
      <c r="G66" s="56"/>
    </row>
    <row r="67" spans="1:7">
      <c r="A67" s="56">
        <v>9.0299999999999994</v>
      </c>
      <c r="B67" s="71" t="s">
        <v>125</v>
      </c>
      <c r="C67" s="105"/>
      <c r="D67" s="106"/>
      <c r="E67" s="62"/>
      <c r="F67" s="56"/>
      <c r="G67" s="56"/>
    </row>
    <row r="68" spans="1:7">
      <c r="A68" s="56">
        <v>9.0399999999999991</v>
      </c>
      <c r="B68" s="71" t="s">
        <v>126</v>
      </c>
      <c r="C68" s="105"/>
      <c r="D68" s="106"/>
      <c r="E68" s="62"/>
      <c r="F68" s="56"/>
      <c r="G68" s="56"/>
    </row>
    <row r="69" spans="1:7">
      <c r="A69" s="56">
        <v>9.0500000000000007</v>
      </c>
      <c r="B69" s="71" t="s">
        <v>127</v>
      </c>
      <c r="C69" s="105"/>
      <c r="D69" s="106"/>
      <c r="E69" s="62"/>
      <c r="F69" s="56"/>
      <c r="G69" s="56"/>
    </row>
    <row r="70" spans="1:7">
      <c r="A70" s="56">
        <v>9.06</v>
      </c>
      <c r="B70" s="71" t="s">
        <v>128</v>
      </c>
      <c r="C70" s="105"/>
      <c r="D70" s="106"/>
      <c r="E70" s="62"/>
      <c r="F70" s="56"/>
      <c r="G70" s="56"/>
    </row>
    <row r="71" spans="1:7">
      <c r="A71" s="56">
        <v>9.07</v>
      </c>
      <c r="B71" s="71" t="s">
        <v>129</v>
      </c>
      <c r="C71" s="94"/>
      <c r="D71" s="97" t="str">
        <f>IF(C71="yes", IF(OR(C65="?", C66="?", C67="no", C67="?"), "eval.", IF(AND(C65="yes", C66="yes", C67="yes"), "reject", IF(OR(C65="no", C66="no"), "accept", " ")))," ")</f>
        <v xml:space="preserve"> </v>
      </c>
      <c r="E71" s="62"/>
      <c r="F71" s="56"/>
      <c r="G71" s="56"/>
    </row>
    <row r="72" spans="1:7">
      <c r="A72" s="56">
        <v>9.08</v>
      </c>
      <c r="B72" s="71" t="s">
        <v>130</v>
      </c>
      <c r="C72" s="92"/>
      <c r="D72" s="89" t="str">
        <f>IF(C71="yes","STOP",IF(C72="yes",IF(C68="no","accept",IF(AND(C68="yes",OR(C69="yes",C70="yes")),"reject",IF(OR(C68="?",C69="?",C70="?",C69="no",C70="no"),"eval.",""))), ""))</f>
        <v/>
      </c>
      <c r="E72" s="62"/>
      <c r="F72" s="56"/>
      <c r="G72" s="56"/>
    </row>
    <row r="73" spans="1:7" ht="15.95" thickBot="1">
      <c r="A73" s="56">
        <v>9.09</v>
      </c>
      <c r="B73" s="91" t="s">
        <v>131</v>
      </c>
      <c r="C73" s="93"/>
      <c r="D73" s="90" t="str">
        <f>IF(OR(C71="yes",C72="yes"),"STOP",IF(C73="yes",IF(AND(LUT!I26="accept",LUT!I27="accept"),"accept",IF(AND(LUT!I26="eval.",LUT!I27="eval."),"eval.",IF(OR(LUT!I26="reject",LUT!I27="reject"),"reject",""))),""))</f>
        <v/>
      </c>
      <c r="E73" s="62"/>
      <c r="F73" s="56"/>
      <c r="G73" s="56"/>
    </row>
    <row r="74" spans="1:7" ht="15.95" thickBot="1">
      <c r="A74" s="56"/>
      <c r="B74" s="72" t="s">
        <v>132</v>
      </c>
      <c r="C74" s="103" t="str">
        <f>IF(OR(D71="accept", D72="accept", D73="accept"), "Accept", IF(OR(D71="eval.", D72="eval.", D73="eval."), "Evaluate Further", IF(OR(D71="reject", D72="reject",D73="reject"), "Reject", "")))</f>
        <v/>
      </c>
      <c r="D74" s="104"/>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133</v>
      </c>
      <c r="H2" s="115" t="s">
        <v>134</v>
      </c>
      <c r="I2" s="116"/>
      <c r="J2" s="116"/>
      <c r="K2" s="116"/>
      <c r="L2" s="116"/>
      <c r="M2" s="116"/>
      <c r="N2" s="116"/>
      <c r="O2" s="116"/>
      <c r="P2" s="116"/>
      <c r="Q2" s="116"/>
      <c r="R2" s="117"/>
    </row>
    <row r="3" spans="2:18">
      <c r="B3" s="1" t="s">
        <v>114</v>
      </c>
      <c r="C3" s="2" t="s">
        <v>4</v>
      </c>
      <c r="D3" s="2" t="s">
        <v>135</v>
      </c>
      <c r="E3" s="3" t="s">
        <v>136</v>
      </c>
      <c r="H3" s="148" t="s">
        <v>137</v>
      </c>
      <c r="I3" s="149"/>
      <c r="J3" s="149"/>
      <c r="K3" s="149"/>
      <c r="L3" s="149"/>
      <c r="M3" s="149"/>
      <c r="N3" s="149"/>
      <c r="O3" s="149"/>
      <c r="P3" s="149"/>
      <c r="Q3" s="149"/>
      <c r="R3" s="150"/>
    </row>
    <row r="4" spans="2:18">
      <c r="B4" s="4" t="s">
        <v>138</v>
      </c>
      <c r="C4">
        <v>1.01</v>
      </c>
      <c r="D4">
        <v>0</v>
      </c>
      <c r="E4" s="5">
        <v>-3</v>
      </c>
      <c r="H4" s="137" t="s">
        <v>139</v>
      </c>
      <c r="I4" s="138"/>
      <c r="J4" s="138"/>
      <c r="K4" s="138"/>
      <c r="L4" s="138"/>
      <c r="M4" s="138"/>
      <c r="N4" s="138"/>
      <c r="O4" s="138"/>
      <c r="P4" s="138"/>
      <c r="Q4" s="138"/>
      <c r="R4" s="16" t="s">
        <v>140</v>
      </c>
    </row>
    <row r="5" spans="2:18">
      <c r="B5" s="4" t="s">
        <v>119</v>
      </c>
      <c r="C5">
        <v>1.02</v>
      </c>
      <c r="D5">
        <v>-1</v>
      </c>
      <c r="E5" s="5">
        <v>1</v>
      </c>
      <c r="H5" s="137" t="s">
        <v>141</v>
      </c>
      <c r="I5" s="10">
        <v>2.0099999999999998</v>
      </c>
      <c r="J5" s="10">
        <v>1</v>
      </c>
      <c r="K5" s="10">
        <v>1</v>
      </c>
      <c r="L5" s="10">
        <v>1</v>
      </c>
      <c r="M5" s="10">
        <v>2</v>
      </c>
      <c r="N5" s="10">
        <v>2</v>
      </c>
      <c r="O5" s="10">
        <v>2</v>
      </c>
      <c r="P5" s="10">
        <v>3</v>
      </c>
      <c r="Q5" s="10">
        <v>3</v>
      </c>
      <c r="R5" s="11">
        <v>3</v>
      </c>
    </row>
    <row r="6" spans="2:18">
      <c r="B6" s="4" t="s">
        <v>119</v>
      </c>
      <c r="C6">
        <v>1.03</v>
      </c>
      <c r="D6">
        <v>-1</v>
      </c>
      <c r="E6" s="5">
        <v>1</v>
      </c>
      <c r="H6" s="137"/>
      <c r="I6" s="10">
        <v>2.02</v>
      </c>
      <c r="J6" s="10">
        <v>1</v>
      </c>
      <c r="K6" s="10">
        <v>2</v>
      </c>
      <c r="L6" s="10">
        <v>3</v>
      </c>
      <c r="M6" s="10">
        <v>1</v>
      </c>
      <c r="N6" s="10">
        <v>2</v>
      </c>
      <c r="O6" s="10">
        <v>3</v>
      </c>
      <c r="P6" s="10">
        <v>1</v>
      </c>
      <c r="Q6" s="10">
        <v>2</v>
      </c>
      <c r="R6" s="11">
        <v>3</v>
      </c>
    </row>
    <row r="7" spans="2:18">
      <c r="B7" s="4"/>
      <c r="C7">
        <v>2.0099999999999998</v>
      </c>
      <c r="D7" s="125" t="s">
        <v>142</v>
      </c>
      <c r="E7" s="126"/>
      <c r="H7" s="120" t="s">
        <v>143</v>
      </c>
      <c r="I7" s="10">
        <v>3.01</v>
      </c>
      <c r="J7" s="10">
        <v>2</v>
      </c>
      <c r="K7" s="10">
        <v>1</v>
      </c>
      <c r="L7" s="10">
        <v>1</v>
      </c>
      <c r="M7" s="10">
        <v>2</v>
      </c>
      <c r="N7" s="10">
        <v>2</v>
      </c>
      <c r="O7" s="10">
        <v>1</v>
      </c>
      <c r="P7" s="10">
        <v>2</v>
      </c>
      <c r="Q7" s="10">
        <v>2</v>
      </c>
      <c r="R7" s="11">
        <v>2</v>
      </c>
    </row>
    <row r="8" spans="2:18">
      <c r="B8" s="4"/>
      <c r="C8">
        <v>2.02</v>
      </c>
      <c r="D8" s="127"/>
      <c r="E8" s="128"/>
      <c r="H8" s="120"/>
      <c r="I8" s="10">
        <v>3.02</v>
      </c>
      <c r="J8" s="10">
        <v>2</v>
      </c>
      <c r="K8" s="10">
        <v>1</v>
      </c>
      <c r="L8" s="10">
        <v>1</v>
      </c>
      <c r="M8" s="10">
        <v>2</v>
      </c>
      <c r="N8" s="10">
        <v>2</v>
      </c>
      <c r="O8" s="10">
        <v>1</v>
      </c>
      <c r="P8" s="10">
        <v>2</v>
      </c>
      <c r="Q8" s="10">
        <v>2</v>
      </c>
      <c r="R8" s="11">
        <v>2</v>
      </c>
    </row>
    <row r="9" spans="2:18">
      <c r="B9" s="4" t="s">
        <v>119</v>
      </c>
      <c r="C9">
        <v>2.0299999999999998</v>
      </c>
      <c r="D9">
        <v>0</v>
      </c>
      <c r="E9" s="5">
        <v>1</v>
      </c>
      <c r="H9" s="120"/>
      <c r="I9" s="10">
        <v>3.03</v>
      </c>
      <c r="J9" s="10">
        <v>4</v>
      </c>
      <c r="K9" s="10">
        <v>2</v>
      </c>
      <c r="L9" s="10">
        <v>1</v>
      </c>
      <c r="M9" s="10">
        <v>4</v>
      </c>
      <c r="N9" s="10">
        <v>3</v>
      </c>
      <c r="O9" s="10">
        <v>2</v>
      </c>
      <c r="P9" s="10">
        <v>4</v>
      </c>
      <c r="Q9" s="10">
        <v>4</v>
      </c>
      <c r="R9" s="11">
        <v>4</v>
      </c>
    </row>
    <row r="10" spans="2:18">
      <c r="B10" s="4" t="s">
        <v>119</v>
      </c>
      <c r="C10">
        <v>2.04</v>
      </c>
      <c r="D10">
        <v>0</v>
      </c>
      <c r="E10" s="5">
        <v>1</v>
      </c>
      <c r="H10" s="120"/>
      <c r="I10" s="10">
        <v>3.04</v>
      </c>
      <c r="J10" s="10">
        <v>4</v>
      </c>
      <c r="K10" s="10">
        <v>2</v>
      </c>
      <c r="L10" s="10">
        <v>1</v>
      </c>
      <c r="M10" s="10">
        <v>4</v>
      </c>
      <c r="N10" s="10">
        <v>3</v>
      </c>
      <c r="O10" s="10">
        <v>2</v>
      </c>
      <c r="P10" s="10">
        <v>4</v>
      </c>
      <c r="Q10" s="10">
        <v>4</v>
      </c>
      <c r="R10" s="11">
        <v>4</v>
      </c>
    </row>
    <row r="11" spans="2:18">
      <c r="B11" s="4"/>
      <c r="C11">
        <v>2.0499999999999998</v>
      </c>
      <c r="E11" s="5"/>
      <c r="H11" s="120"/>
      <c r="I11" s="10">
        <v>3.05</v>
      </c>
      <c r="J11" s="10">
        <v>2</v>
      </c>
      <c r="K11" s="10">
        <v>1</v>
      </c>
      <c r="L11" s="10">
        <v>1</v>
      </c>
      <c r="M11" s="10">
        <v>2</v>
      </c>
      <c r="N11" s="10">
        <v>2</v>
      </c>
      <c r="O11" s="10">
        <v>1</v>
      </c>
      <c r="P11" s="10">
        <v>2</v>
      </c>
      <c r="Q11" s="10">
        <v>2</v>
      </c>
      <c r="R11" s="11">
        <v>2</v>
      </c>
    </row>
    <row r="12" spans="2:18">
      <c r="B12" s="4" t="s">
        <v>119</v>
      </c>
      <c r="C12">
        <v>3.01</v>
      </c>
      <c r="D12" s="129" t="s">
        <v>144</v>
      </c>
      <c r="E12" s="130"/>
      <c r="H12" s="118" t="s">
        <v>145</v>
      </c>
      <c r="I12" s="119"/>
      <c r="J12" s="119"/>
      <c r="K12" s="119"/>
      <c r="L12" s="119"/>
      <c r="M12" s="119"/>
      <c r="N12" s="119"/>
      <c r="O12" s="119"/>
      <c r="P12" s="119"/>
      <c r="Q12" s="119"/>
      <c r="R12" s="122"/>
    </row>
    <row r="13" spans="2:18">
      <c r="B13" s="4" t="s">
        <v>146</v>
      </c>
      <c r="C13">
        <v>3.02</v>
      </c>
      <c r="D13" s="131"/>
      <c r="E13" s="132"/>
      <c r="H13" s="4" t="s">
        <v>147</v>
      </c>
      <c r="I13" s="10">
        <v>2.0499999999999998</v>
      </c>
      <c r="J13" s="10" t="s">
        <v>31</v>
      </c>
      <c r="K13" s="10" t="s">
        <v>148</v>
      </c>
      <c r="L13" s="10" t="s">
        <v>149</v>
      </c>
      <c r="M13" s="119"/>
      <c r="N13" s="119"/>
      <c r="O13" s="119"/>
      <c r="P13" s="119"/>
      <c r="Q13" s="119"/>
      <c r="R13" s="122"/>
    </row>
    <row r="14" spans="2:18">
      <c r="B14" s="4" t="s">
        <v>117</v>
      </c>
      <c r="C14">
        <v>3.03</v>
      </c>
      <c r="D14" s="131"/>
      <c r="E14" s="132"/>
      <c r="H14" s="120" t="s">
        <v>143</v>
      </c>
      <c r="I14" s="10">
        <v>3.01</v>
      </c>
      <c r="J14" s="10">
        <v>-1</v>
      </c>
      <c r="K14" s="10">
        <v>0</v>
      </c>
      <c r="L14" s="10">
        <v>-2</v>
      </c>
      <c r="M14" s="119"/>
      <c r="N14" s="119"/>
      <c r="O14" s="119"/>
      <c r="P14" s="119"/>
      <c r="Q14" s="119"/>
      <c r="R14" s="122"/>
    </row>
    <row r="15" spans="2:18" ht="15.95" thickBot="1">
      <c r="B15" s="4" t="s">
        <v>146</v>
      </c>
      <c r="C15">
        <v>3.04</v>
      </c>
      <c r="D15" s="131"/>
      <c r="E15" s="132"/>
      <c r="H15" s="121"/>
      <c r="I15" s="13" t="s">
        <v>150</v>
      </c>
      <c r="J15" s="13">
        <v>0</v>
      </c>
      <c r="K15" s="13">
        <v>0</v>
      </c>
      <c r="L15" s="13">
        <v>0</v>
      </c>
      <c r="M15" s="123"/>
      <c r="N15" s="123"/>
      <c r="O15" s="123"/>
      <c r="P15" s="123"/>
      <c r="Q15" s="123"/>
      <c r="R15" s="124"/>
    </row>
    <row r="16" spans="2:18">
      <c r="B16" s="4" t="s">
        <v>119</v>
      </c>
      <c r="C16">
        <v>3.05</v>
      </c>
      <c r="D16" s="133"/>
      <c r="E16" s="134"/>
    </row>
    <row r="17" spans="2:11">
      <c r="B17" s="4" t="s">
        <v>151</v>
      </c>
      <c r="C17">
        <v>4.01</v>
      </c>
      <c r="D17">
        <v>0</v>
      </c>
      <c r="E17" s="5">
        <v>1</v>
      </c>
    </row>
    <row r="18" spans="2:11" ht="15.95" thickBot="1">
      <c r="B18" s="4" t="s">
        <v>119</v>
      </c>
      <c r="C18">
        <v>4.0199999999999996</v>
      </c>
      <c r="D18">
        <v>0</v>
      </c>
      <c r="E18" s="5">
        <v>1</v>
      </c>
    </row>
    <row r="19" spans="2:11">
      <c r="B19" s="4" t="s">
        <v>119</v>
      </c>
      <c r="C19">
        <v>4.03</v>
      </c>
      <c r="D19">
        <v>0</v>
      </c>
      <c r="E19" s="5">
        <v>1</v>
      </c>
      <c r="H19" s="115" t="s">
        <v>152</v>
      </c>
      <c r="I19" s="116"/>
      <c r="J19" s="116"/>
      <c r="K19" s="117"/>
    </row>
    <row r="20" spans="2:11">
      <c r="B20" s="4" t="s">
        <v>117</v>
      </c>
      <c r="C20">
        <v>4.04</v>
      </c>
      <c r="D20">
        <v>-1</v>
      </c>
      <c r="E20" s="5">
        <v>1</v>
      </c>
      <c r="H20" s="4" t="s">
        <v>153</v>
      </c>
      <c r="I20" s="12">
        <v>1</v>
      </c>
      <c r="J20" s="12">
        <v>2</v>
      </c>
      <c r="K20" s="9">
        <v>4</v>
      </c>
    </row>
    <row r="21" spans="2:11" ht="15.95" thickBot="1">
      <c r="B21" s="4" t="s">
        <v>119</v>
      </c>
      <c r="C21">
        <v>4.05</v>
      </c>
      <c r="D21">
        <v>0</v>
      </c>
      <c r="E21" s="5">
        <v>1</v>
      </c>
      <c r="H21" s="6" t="s">
        <v>6</v>
      </c>
      <c r="I21" s="14">
        <v>1</v>
      </c>
      <c r="J21" s="14">
        <v>0</v>
      </c>
      <c r="K21" s="15">
        <v>-1</v>
      </c>
    </row>
    <row r="22" spans="2:11">
      <c r="B22" s="4" t="s">
        <v>119</v>
      </c>
      <c r="C22">
        <v>4.0599999999999996</v>
      </c>
      <c r="D22">
        <v>0</v>
      </c>
      <c r="E22" s="5">
        <v>1</v>
      </c>
    </row>
    <row r="23" spans="2:11">
      <c r="B23" s="4" t="s">
        <v>119</v>
      </c>
      <c r="C23">
        <v>4.07</v>
      </c>
      <c r="D23">
        <v>0</v>
      </c>
      <c r="E23" s="5">
        <v>1</v>
      </c>
    </row>
    <row r="24" spans="2:11" ht="15.95" thickBot="1">
      <c r="B24" s="4" t="s">
        <v>146</v>
      </c>
      <c r="C24">
        <v>4.08</v>
      </c>
      <c r="D24">
        <v>0</v>
      </c>
      <c r="E24" s="5">
        <v>1</v>
      </c>
    </row>
    <row r="25" spans="2:11">
      <c r="B25" s="4" t="s">
        <v>146</v>
      </c>
      <c r="C25">
        <v>4.09</v>
      </c>
      <c r="D25">
        <v>0</v>
      </c>
      <c r="E25" s="5">
        <v>1</v>
      </c>
      <c r="H25" s="139" t="s">
        <v>154</v>
      </c>
      <c r="I25" s="140"/>
      <c r="J25" s="140"/>
      <c r="K25" s="141"/>
    </row>
    <row r="26" spans="2:11">
      <c r="B26" s="4" t="s">
        <v>146</v>
      </c>
      <c r="C26">
        <v>4.0999999999999996</v>
      </c>
      <c r="D26">
        <v>0</v>
      </c>
      <c r="E26" s="5">
        <v>1</v>
      </c>
      <c r="H26" s="95" t="s">
        <v>155</v>
      </c>
      <c r="I26" s="151" t="str">
        <f>IF(OR('WRA Worksheet'!C65="?",'WRA Worksheet'!C66="?",'WRA Worksheet'!C67="?",'WRA Worksheet'!C67="no"),"eval.",IF(AND('WRA Worksheet'!C65="yes",'WRA Worksheet'!C66="yes",'WRA Worksheet'!C67="yes"),"reject",IF(OR('WRA Worksheet'!C65="no",'WRA Worksheet'!C66="no"),"accept","")))</f>
        <v/>
      </c>
      <c r="J26" s="151"/>
      <c r="K26" s="152"/>
    </row>
    <row r="27" spans="2:11" ht="15.95" thickBot="1">
      <c r="B27" s="4" t="s">
        <v>146</v>
      </c>
      <c r="C27">
        <v>4.1100000000000003</v>
      </c>
      <c r="D27">
        <v>0</v>
      </c>
      <c r="E27" s="5">
        <v>1</v>
      </c>
      <c r="H27" s="96" t="s">
        <v>156</v>
      </c>
      <c r="I27" s="153" t="str">
        <f>IF('WRA Worksheet'!C68="no","accept",IF(AND('WRA Worksheet'!C68="yes",OR('WRA Worksheet'!C69="yes",'WRA Worksheet'!C70="yes")),"reject",IF(OR('WRA Worksheet'!C68="?",'WRA Worksheet'!C69="?",'WRA Worksheet'!C70="?",'WRA Worksheet'!C69="no",'WRA Worksheet'!C70="no"),"eval.","")))</f>
        <v/>
      </c>
      <c r="J27" s="153"/>
      <c r="K27" s="154"/>
    </row>
    <row r="28" spans="2:11">
      <c r="B28" s="4" t="s">
        <v>119</v>
      </c>
      <c r="C28">
        <v>4.12</v>
      </c>
      <c r="D28">
        <v>0</v>
      </c>
      <c r="E28" s="5">
        <v>1</v>
      </c>
    </row>
    <row r="29" spans="2:11">
      <c r="B29" s="4" t="s">
        <v>157</v>
      </c>
      <c r="C29">
        <v>5.01</v>
      </c>
      <c r="D29">
        <v>0</v>
      </c>
      <c r="E29" s="5">
        <v>5</v>
      </c>
    </row>
    <row r="30" spans="2:11">
      <c r="B30" s="4" t="s">
        <v>119</v>
      </c>
      <c r="C30">
        <v>5.0199999999999996</v>
      </c>
      <c r="D30">
        <v>0</v>
      </c>
      <c r="E30" s="5">
        <v>1</v>
      </c>
    </row>
    <row r="31" spans="2:11">
      <c r="B31" s="4" t="s">
        <v>146</v>
      </c>
      <c r="C31">
        <v>5.03</v>
      </c>
      <c r="D31">
        <v>0</v>
      </c>
      <c r="E31" s="5">
        <v>1</v>
      </c>
    </row>
    <row r="32" spans="2:11">
      <c r="B32" s="4" t="s">
        <v>119</v>
      </c>
      <c r="C32">
        <v>5.04</v>
      </c>
      <c r="D32">
        <v>0</v>
      </c>
      <c r="E32" s="5">
        <v>1</v>
      </c>
    </row>
    <row r="33" spans="2:5">
      <c r="B33" s="4" t="s">
        <v>119</v>
      </c>
      <c r="C33">
        <v>6.01</v>
      </c>
      <c r="D33">
        <v>0</v>
      </c>
      <c r="E33" s="5">
        <v>1</v>
      </c>
    </row>
    <row r="34" spans="2:5">
      <c r="B34" s="4" t="s">
        <v>119</v>
      </c>
      <c r="C34">
        <v>6.02</v>
      </c>
      <c r="D34">
        <v>-1</v>
      </c>
      <c r="E34" s="5">
        <v>1</v>
      </c>
    </row>
    <row r="35" spans="2:5">
      <c r="B35" s="4" t="s">
        <v>117</v>
      </c>
      <c r="C35">
        <v>6.03</v>
      </c>
      <c r="D35">
        <v>-1</v>
      </c>
      <c r="E35" s="5">
        <v>1</v>
      </c>
    </row>
    <row r="36" spans="2:5">
      <c r="B36" s="4" t="s">
        <v>119</v>
      </c>
      <c r="C36">
        <v>6.04</v>
      </c>
      <c r="D36">
        <v>-1</v>
      </c>
      <c r="E36" s="5">
        <v>1</v>
      </c>
    </row>
    <row r="37" spans="2:5">
      <c r="B37" s="4" t="s">
        <v>119</v>
      </c>
      <c r="C37">
        <v>6.05</v>
      </c>
      <c r="D37">
        <v>0</v>
      </c>
      <c r="E37" s="5">
        <v>-1</v>
      </c>
    </row>
    <row r="38" spans="2:5">
      <c r="B38" s="4" t="s">
        <v>117</v>
      </c>
      <c r="C38">
        <v>6.06</v>
      </c>
      <c r="D38">
        <v>-1</v>
      </c>
      <c r="E38" s="5">
        <v>1</v>
      </c>
    </row>
    <row r="39" spans="2:5">
      <c r="B39" s="4" t="s">
        <v>119</v>
      </c>
      <c r="C39">
        <v>6.07</v>
      </c>
      <c r="D39" s="135" t="s">
        <v>158</v>
      </c>
      <c r="E39" s="136"/>
    </row>
    <row r="40" spans="2:5">
      <c r="B40" s="4" t="s">
        <v>117</v>
      </c>
      <c r="C40">
        <v>7.01</v>
      </c>
      <c r="D40">
        <v>-1</v>
      </c>
      <c r="E40" s="5">
        <v>1</v>
      </c>
    </row>
    <row r="41" spans="2:5">
      <c r="B41" s="4" t="s">
        <v>119</v>
      </c>
      <c r="C41">
        <v>7.02</v>
      </c>
      <c r="D41">
        <v>-1</v>
      </c>
      <c r="E41" s="5">
        <v>1</v>
      </c>
    </row>
    <row r="42" spans="2:5">
      <c r="B42" s="4" t="s">
        <v>117</v>
      </c>
      <c r="C42">
        <v>7.03</v>
      </c>
      <c r="D42">
        <v>-1</v>
      </c>
      <c r="E42" s="5">
        <v>1</v>
      </c>
    </row>
    <row r="43" spans="2:5">
      <c r="B43" s="4" t="s">
        <v>119</v>
      </c>
      <c r="C43">
        <v>7.04</v>
      </c>
      <c r="D43">
        <v>-1</v>
      </c>
      <c r="E43" s="5">
        <v>1</v>
      </c>
    </row>
    <row r="44" spans="2:5">
      <c r="B44" s="4" t="s">
        <v>146</v>
      </c>
      <c r="C44">
        <v>7.05</v>
      </c>
      <c r="D44">
        <v>-1</v>
      </c>
      <c r="E44" s="5">
        <v>1</v>
      </c>
    </row>
    <row r="45" spans="2:5">
      <c r="B45" s="4" t="s">
        <v>146</v>
      </c>
      <c r="C45">
        <v>7.06</v>
      </c>
      <c r="D45">
        <v>-1</v>
      </c>
      <c r="E45" s="5">
        <v>1</v>
      </c>
    </row>
    <row r="46" spans="2:5">
      <c r="B46" s="4" t="s">
        <v>119</v>
      </c>
      <c r="C46">
        <v>7.07</v>
      </c>
      <c r="D46">
        <v>-1</v>
      </c>
      <c r="E46" s="5">
        <v>1</v>
      </c>
    </row>
    <row r="47" spans="2:5">
      <c r="B47" s="4" t="s">
        <v>119</v>
      </c>
      <c r="C47">
        <v>7.08</v>
      </c>
      <c r="D47">
        <v>-1</v>
      </c>
      <c r="E47" s="5">
        <v>1</v>
      </c>
    </row>
    <row r="48" spans="2:5">
      <c r="B48" s="4" t="s">
        <v>119</v>
      </c>
      <c r="C48">
        <v>8.01</v>
      </c>
      <c r="D48">
        <v>-1</v>
      </c>
      <c r="E48" s="5">
        <v>1</v>
      </c>
    </row>
    <row r="49" spans="2:5">
      <c r="B49" s="4" t="s">
        <v>119</v>
      </c>
      <c r="C49">
        <v>8.02</v>
      </c>
      <c r="D49">
        <v>-1</v>
      </c>
      <c r="E49" s="5">
        <v>1</v>
      </c>
    </row>
    <row r="50" spans="2:5">
      <c r="B50" s="4" t="s">
        <v>117</v>
      </c>
      <c r="C50">
        <v>8.0299999999999994</v>
      </c>
      <c r="D50">
        <v>1</v>
      </c>
      <c r="E50" s="5">
        <v>-1</v>
      </c>
    </row>
    <row r="51" spans="2:5">
      <c r="B51" s="4" t="s">
        <v>117</v>
      </c>
      <c r="C51">
        <v>8.0399999999999991</v>
      </c>
      <c r="D51">
        <v>-1</v>
      </c>
      <c r="E51" s="5">
        <v>1</v>
      </c>
    </row>
    <row r="52" spans="2:5">
      <c r="B52" s="4" t="s">
        <v>119</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5" t="str">
        <f>'WRA Worksheet'!F1</f>
        <v>Assessment date: April 28, 2025 Prepared by Seokmin Kim</v>
      </c>
      <c r="B1" s="146"/>
      <c r="C1" s="146"/>
      <c r="D1" s="98" t="s">
        <v>159</v>
      </c>
    </row>
    <row r="2" spans="1:4" ht="18.95">
      <c r="A2" s="142" t="s">
        <v>160</v>
      </c>
      <c r="B2" s="143"/>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161</v>
      </c>
      <c r="C6" s="76">
        <f>'WRA Worksheet'!C6</f>
        <v>3</v>
      </c>
      <c r="D6" s="83"/>
    </row>
    <row r="7" spans="1:4" ht="15.95">
      <c r="A7" s="74">
        <v>2.02</v>
      </c>
      <c r="B7" s="75" t="s">
        <v>162</v>
      </c>
      <c r="C7" s="76">
        <f>'WRA Worksheet'!C7</f>
        <v>3</v>
      </c>
      <c r="D7" s="83"/>
    </row>
    <row r="8" spans="1:4" ht="15.95">
      <c r="A8" s="74">
        <v>2.0299999999999998</v>
      </c>
      <c r="B8" s="75" t="s">
        <v>18</v>
      </c>
      <c r="C8" s="76" t="str">
        <f>'WRA Worksheet'!C8</f>
        <v>y</v>
      </c>
      <c r="D8" s="82">
        <f>'WRA Worksheet'!D8</f>
        <v>1</v>
      </c>
    </row>
    <row r="9" spans="1:4" ht="51.95">
      <c r="A9" s="74">
        <v>2.04</v>
      </c>
      <c r="B9" s="78" t="s">
        <v>20</v>
      </c>
      <c r="C9" s="76" t="str">
        <f>'WRA Worksheet'!C9</f>
        <v>y</v>
      </c>
      <c r="D9" s="82">
        <f>'WRA Worksheet'!D9</f>
        <v>1</v>
      </c>
    </row>
    <row r="10" spans="1:4" ht="32.1">
      <c r="A10" s="74">
        <v>2.0499999999999998</v>
      </c>
      <c r="B10" s="75" t="s">
        <v>21</v>
      </c>
      <c r="C10" s="79" t="str">
        <f>'WRA Worksheet'!C10</f>
        <v>y</v>
      </c>
      <c r="D10" s="83"/>
    </row>
    <row r="11" spans="1:4" ht="15.95">
      <c r="A11" s="74">
        <v>3.01</v>
      </c>
      <c r="B11" s="75" t="s">
        <v>24</v>
      </c>
      <c r="C11" s="76" t="str">
        <f>'WRA Worksheet'!C11</f>
        <v>y</v>
      </c>
      <c r="D11" s="82">
        <f>'WRA Worksheet'!D11</f>
        <v>2</v>
      </c>
    </row>
    <row r="12" spans="1:4" ht="15.95">
      <c r="A12" s="74">
        <v>3.02</v>
      </c>
      <c r="B12" s="75" t="s">
        <v>27</v>
      </c>
      <c r="C12" s="76" t="str">
        <f>'WRA Worksheet'!C12</f>
        <v>y</v>
      </c>
      <c r="D12" s="82">
        <f>'WRA Worksheet'!D12</f>
        <v>2</v>
      </c>
    </row>
    <row r="13" spans="1:4" ht="15.95">
      <c r="A13" s="74">
        <v>3.03</v>
      </c>
      <c r="B13" s="75" t="s">
        <v>30</v>
      </c>
      <c r="C13" s="76" t="str">
        <f>'WRA Worksheet'!C13</f>
        <v>?</v>
      </c>
      <c r="D13" s="82" t="str">
        <f>'WRA Worksheet'!D13</f>
        <v/>
      </c>
    </row>
    <row r="14" spans="1:4" ht="15.95">
      <c r="A14" s="74">
        <v>3.04</v>
      </c>
      <c r="B14" s="75" t="s">
        <v>33</v>
      </c>
      <c r="C14" s="76" t="str">
        <f>'WRA Worksheet'!C14</f>
        <v>y</v>
      </c>
      <c r="D14" s="82">
        <f>'WRA Worksheet'!D14</f>
        <v>4</v>
      </c>
    </row>
    <row r="15" spans="1:4" ht="15.95">
      <c r="A15" s="74">
        <v>3.05</v>
      </c>
      <c r="B15" s="75" t="s">
        <v>36</v>
      </c>
      <c r="C15" s="76" t="str">
        <f>'WRA Worksheet'!C15</f>
        <v>n</v>
      </c>
      <c r="D15" s="82">
        <f>'WRA Worksheet'!D15</f>
        <v>0</v>
      </c>
    </row>
    <row r="16" spans="1:4" ht="15.95">
      <c r="A16" s="74">
        <v>4.01</v>
      </c>
      <c r="B16" s="75" t="s">
        <v>37</v>
      </c>
      <c r="C16" s="76" t="str">
        <f>'WRA Worksheet'!C16</f>
        <v>n</v>
      </c>
      <c r="D16" s="82">
        <f>'WRA Worksheet'!D16</f>
        <v>0</v>
      </c>
    </row>
    <row r="17" spans="1:4" ht="15.95">
      <c r="A17" s="74">
        <v>4.0199999999999996</v>
      </c>
      <c r="B17" s="75" t="s">
        <v>38</v>
      </c>
      <c r="C17" s="76" t="str">
        <f>'WRA Worksheet'!C17</f>
        <v>?</v>
      </c>
      <c r="D17" s="82" t="str">
        <f>'WRA Worksheet'!D17</f>
        <v xml:space="preserve"> </v>
      </c>
    </row>
    <row r="18" spans="1:4" ht="15.95">
      <c r="A18" s="74">
        <v>4.03</v>
      </c>
      <c r="B18" s="75" t="s">
        <v>41</v>
      </c>
      <c r="C18" s="76" t="str">
        <f>'WRA Worksheet'!C18</f>
        <v>n</v>
      </c>
      <c r="D18" s="82">
        <f>'WRA Worksheet'!D18</f>
        <v>0</v>
      </c>
    </row>
    <row r="19" spans="1:4" ht="15.95">
      <c r="A19" s="74">
        <v>4.04</v>
      </c>
      <c r="B19" s="75" t="s">
        <v>42</v>
      </c>
      <c r="C19" s="76" t="str">
        <f>'WRA Worksheet'!C19</f>
        <v>y</v>
      </c>
      <c r="D19" s="82">
        <f>'WRA Worksheet'!D19</f>
        <v>1</v>
      </c>
    </row>
    <row r="20" spans="1:4" ht="15.95">
      <c r="A20" s="74">
        <v>4.05</v>
      </c>
      <c r="B20" s="75" t="s">
        <v>44</v>
      </c>
      <c r="C20" s="76" t="str">
        <f>'WRA Worksheet'!C20</f>
        <v>y</v>
      </c>
      <c r="D20" s="82">
        <f>'WRA Worksheet'!D20</f>
        <v>1</v>
      </c>
    </row>
    <row r="21" spans="1:4" ht="15.95">
      <c r="A21" s="74">
        <v>4.0599999999999996</v>
      </c>
      <c r="B21" s="75" t="s">
        <v>47</v>
      </c>
      <c r="C21" s="76" t="str">
        <f>'WRA Worksheet'!C21</f>
        <v>n</v>
      </c>
      <c r="D21" s="82">
        <f>'WRA Worksheet'!D21</f>
        <v>0</v>
      </c>
    </row>
    <row r="22" spans="1:4" ht="15.95">
      <c r="A22" s="74">
        <v>4.07</v>
      </c>
      <c r="B22" s="75" t="s">
        <v>49</v>
      </c>
      <c r="C22" s="76" t="str">
        <f>'WRA Worksheet'!C22</f>
        <v>y</v>
      </c>
      <c r="D22" s="82">
        <f>'WRA Worksheet'!D22</f>
        <v>1</v>
      </c>
    </row>
    <row r="23" spans="1:4" ht="15.95">
      <c r="A23" s="74">
        <v>4.08</v>
      </c>
      <c r="B23" s="75" t="s">
        <v>50</v>
      </c>
      <c r="C23" s="76" t="str">
        <f>'WRA Worksheet'!C23</f>
        <v>n</v>
      </c>
      <c r="D23" s="82">
        <f>'WRA Worksheet'!D23</f>
        <v>0</v>
      </c>
    </row>
    <row r="24" spans="1:4" ht="15.95">
      <c r="A24" s="74">
        <v>4.09</v>
      </c>
      <c r="B24" s="75" t="s">
        <v>53</v>
      </c>
      <c r="C24" s="76" t="str">
        <f>'WRA Worksheet'!C24</f>
        <v>n</v>
      </c>
      <c r="D24" s="82">
        <f>'WRA Worksheet'!D24</f>
        <v>0</v>
      </c>
    </row>
    <row r="25" spans="1:4" ht="32.1">
      <c r="A25" s="74">
        <v>4.0999999999999996</v>
      </c>
      <c r="B25" s="80" t="s">
        <v>56</v>
      </c>
      <c r="C25" s="76" t="str">
        <f>'WRA Worksheet'!C25</f>
        <v>y</v>
      </c>
      <c r="D25" s="82">
        <f>'WRA Worksheet'!D25</f>
        <v>1</v>
      </c>
    </row>
    <row r="26" spans="1:4" ht="15.95">
      <c r="A26" s="74">
        <v>4.1100000000000003</v>
      </c>
      <c r="B26" s="75" t="s">
        <v>59</v>
      </c>
      <c r="C26" s="76" t="str">
        <f>'WRA Worksheet'!C26</f>
        <v>n</v>
      </c>
      <c r="D26" s="82">
        <f>'WRA Worksheet'!D26</f>
        <v>0</v>
      </c>
    </row>
    <row r="27" spans="1:4" ht="15.95">
      <c r="A27" s="74">
        <v>4.12</v>
      </c>
      <c r="B27" s="75" t="s">
        <v>60</v>
      </c>
      <c r="C27" s="76" t="str">
        <f>'WRA Worksheet'!C27</f>
        <v>y</v>
      </c>
      <c r="D27" s="82">
        <f>'WRA Worksheet'!D27</f>
        <v>1</v>
      </c>
    </row>
    <row r="28" spans="1:4" ht="15.95">
      <c r="A28" s="74">
        <v>5.01</v>
      </c>
      <c r="B28" s="75" t="s">
        <v>63</v>
      </c>
      <c r="C28" s="76" t="str">
        <f>'WRA Worksheet'!C28</f>
        <v>n</v>
      </c>
      <c r="D28" s="82">
        <f>'WRA Worksheet'!D28</f>
        <v>0</v>
      </c>
    </row>
    <row r="29" spans="1:4" ht="15.95">
      <c r="A29" s="74">
        <v>5.0199999999999996</v>
      </c>
      <c r="B29" s="75" t="s">
        <v>64</v>
      </c>
      <c r="C29" s="76" t="str">
        <f>'WRA Worksheet'!C29</f>
        <v>n</v>
      </c>
      <c r="D29" s="82">
        <f>'WRA Worksheet'!D29</f>
        <v>0</v>
      </c>
    </row>
    <row r="30" spans="1:4" ht="15.95">
      <c r="A30" s="74">
        <v>5.03</v>
      </c>
      <c r="B30" s="75" t="s">
        <v>66</v>
      </c>
      <c r="C30" s="76" t="str">
        <f>'WRA Worksheet'!C30</f>
        <v>n</v>
      </c>
      <c r="D30" s="82">
        <f>'WRA Worksheet'!D30</f>
        <v>0</v>
      </c>
    </row>
    <row r="31" spans="1:4" ht="15.95">
      <c r="A31" s="74">
        <v>5.04</v>
      </c>
      <c r="B31" s="75" t="s">
        <v>67</v>
      </c>
      <c r="C31" s="76" t="str">
        <f>'WRA Worksheet'!C31</f>
        <v>n</v>
      </c>
      <c r="D31" s="82">
        <f>'WRA Worksheet'!D31</f>
        <v>0</v>
      </c>
    </row>
    <row r="32" spans="1:4" ht="15.95">
      <c r="A32" s="74">
        <v>6.01</v>
      </c>
      <c r="B32" s="75" t="s">
        <v>68</v>
      </c>
      <c r="C32" s="76" t="str">
        <f>'WRA Worksheet'!C32</f>
        <v>n</v>
      </c>
      <c r="D32" s="82">
        <f>'WRA Worksheet'!D32</f>
        <v>0</v>
      </c>
    </row>
    <row r="33" spans="1:4" ht="15.95">
      <c r="A33" s="74">
        <v>6.02</v>
      </c>
      <c r="B33" s="75" t="s">
        <v>69</v>
      </c>
      <c r="C33" s="76" t="str">
        <f>'WRA Worksheet'!C33</f>
        <v>y</v>
      </c>
      <c r="D33" s="82">
        <f>'WRA Worksheet'!D33</f>
        <v>1</v>
      </c>
    </row>
    <row r="34" spans="1:4" ht="15.95">
      <c r="A34" s="74">
        <v>6.03</v>
      </c>
      <c r="B34" s="75" t="s">
        <v>72</v>
      </c>
      <c r="C34" s="76" t="str">
        <f>'WRA Worksheet'!C34</f>
        <v>?</v>
      </c>
      <c r="D34" s="82" t="str">
        <f>'WRA Worksheet'!D34</f>
        <v xml:space="preserve"> </v>
      </c>
    </row>
    <row r="35" spans="1:4" ht="15.95">
      <c r="A35" s="74">
        <v>6.04</v>
      </c>
      <c r="B35" s="75" t="s">
        <v>74</v>
      </c>
      <c r="C35" s="76" t="str">
        <f>'WRA Worksheet'!C35</f>
        <v>?</v>
      </c>
      <c r="D35" s="82" t="str">
        <f>'WRA Worksheet'!D35</f>
        <v xml:space="preserve"> </v>
      </c>
    </row>
    <row r="36" spans="1:4" ht="15.95">
      <c r="A36" s="74">
        <v>6.05</v>
      </c>
      <c r="B36" s="75" t="s">
        <v>75</v>
      </c>
      <c r="C36" s="76" t="str">
        <f>'WRA Worksheet'!C36</f>
        <v>n</v>
      </c>
      <c r="D36" s="82">
        <f>'WRA Worksheet'!D36</f>
        <v>0</v>
      </c>
    </row>
    <row r="37" spans="1:4" ht="15.95">
      <c r="A37" s="74">
        <v>6.06</v>
      </c>
      <c r="B37" s="75" t="s">
        <v>77</v>
      </c>
      <c r="C37" s="76" t="str">
        <f>'WRA Worksheet'!C37</f>
        <v>y</v>
      </c>
      <c r="D37" s="82">
        <f>'WRA Worksheet'!D37</f>
        <v>1</v>
      </c>
    </row>
    <row r="38" spans="1:4" ht="15.95">
      <c r="A38" s="74">
        <v>6.07</v>
      </c>
      <c r="B38" s="75" t="s">
        <v>80</v>
      </c>
      <c r="C38" s="81" t="str">
        <f>'WRA Worksheet'!C38</f>
        <v>?</v>
      </c>
      <c r="D38" s="82" t="str">
        <f>'WRA Worksheet'!D38</f>
        <v xml:space="preserve"> </v>
      </c>
    </row>
    <row r="39" spans="1:4" ht="32.1">
      <c r="A39" s="74">
        <v>7.01</v>
      </c>
      <c r="B39" s="75" t="s">
        <v>83</v>
      </c>
      <c r="C39" s="76" t="str">
        <f>'WRA Worksheet'!C39</f>
        <v>y</v>
      </c>
      <c r="D39" s="82">
        <f>'WRA Worksheet'!D39</f>
        <v>1</v>
      </c>
    </row>
    <row r="40" spans="1:4" ht="15.95">
      <c r="A40" s="74">
        <v>7.02</v>
      </c>
      <c r="B40" s="75" t="s">
        <v>86</v>
      </c>
      <c r="C40" s="76" t="str">
        <f>'WRA Worksheet'!C40</f>
        <v>y</v>
      </c>
      <c r="D40" s="82">
        <f>'WRA Worksheet'!D40</f>
        <v>1</v>
      </c>
    </row>
    <row r="41" spans="1:4" ht="15.95">
      <c r="A41" s="74">
        <v>7.03</v>
      </c>
      <c r="B41" s="75" t="s">
        <v>89</v>
      </c>
      <c r="C41" s="76" t="str">
        <f>'WRA Worksheet'!C41</f>
        <v>n</v>
      </c>
      <c r="D41" s="82">
        <f>'WRA Worksheet'!D41</f>
        <v>-1</v>
      </c>
    </row>
    <row r="42" spans="1:4" ht="15.95">
      <c r="A42" s="74">
        <v>7.04</v>
      </c>
      <c r="B42" s="75" t="s">
        <v>90</v>
      </c>
      <c r="C42" s="76" t="str">
        <f>'WRA Worksheet'!C42</f>
        <v>n</v>
      </c>
      <c r="D42" s="82">
        <f>'WRA Worksheet'!D42</f>
        <v>-1</v>
      </c>
    </row>
    <row r="43" spans="1:4" ht="15.95">
      <c r="A43" s="74">
        <v>7.05</v>
      </c>
      <c r="B43" s="75" t="s">
        <v>91</v>
      </c>
      <c r="C43" s="76" t="str">
        <f>'WRA Worksheet'!C43</f>
        <v>?</v>
      </c>
      <c r="D43" s="82" t="str">
        <f>'WRA Worksheet'!D43</f>
        <v xml:space="preserve"> </v>
      </c>
    </row>
    <row r="44" spans="1:4" ht="15.95">
      <c r="A44" s="74">
        <v>7.06</v>
      </c>
      <c r="B44" s="75" t="s">
        <v>93</v>
      </c>
      <c r="C44" s="76" t="str">
        <f>'WRA Worksheet'!C44</f>
        <v>y</v>
      </c>
      <c r="D44" s="82">
        <f>'WRA Worksheet'!D44</f>
        <v>1</v>
      </c>
    </row>
    <row r="45" spans="1:4" ht="15.95">
      <c r="A45" s="74">
        <v>7.07</v>
      </c>
      <c r="B45" s="75" t="s">
        <v>96</v>
      </c>
      <c r="C45" s="76" t="str">
        <f>'WRA Worksheet'!C45</f>
        <v>n</v>
      </c>
      <c r="D45" s="82">
        <f>'WRA Worksheet'!D45</f>
        <v>-1</v>
      </c>
    </row>
    <row r="46" spans="1:4" ht="15.95">
      <c r="A46" s="74">
        <v>7.08</v>
      </c>
      <c r="B46" s="75" t="s">
        <v>97</v>
      </c>
      <c r="C46" s="76" t="str">
        <f>'WRA Worksheet'!C46</f>
        <v>n</v>
      </c>
      <c r="D46" s="82">
        <f>'WRA Worksheet'!D46</f>
        <v>-1</v>
      </c>
    </row>
    <row r="47" spans="1:4" ht="15.95">
      <c r="A47" s="74">
        <v>8.01</v>
      </c>
      <c r="B47" s="75" t="s">
        <v>99</v>
      </c>
      <c r="C47" s="76" t="str">
        <f>'WRA Worksheet'!C47</f>
        <v>n</v>
      </c>
      <c r="D47" s="82">
        <f>'WRA Worksheet'!D47</f>
        <v>-1</v>
      </c>
    </row>
    <row r="48" spans="1:4" ht="15.95">
      <c r="A48" s="74">
        <v>8.02</v>
      </c>
      <c r="B48" s="75" t="s">
        <v>102</v>
      </c>
      <c r="C48" s="76" t="str">
        <f>'WRA Worksheet'!C48</f>
        <v>?</v>
      </c>
      <c r="D48" s="82" t="str">
        <f>'WRA Worksheet'!D48</f>
        <v xml:space="preserve"> </v>
      </c>
    </row>
    <row r="49" spans="1:4" ht="15.95">
      <c r="A49" s="74">
        <v>8.0299999999999994</v>
      </c>
      <c r="B49" s="75" t="s">
        <v>104</v>
      </c>
      <c r="C49" s="76" t="str">
        <f>'WRA Worksheet'!C49</f>
        <v>y</v>
      </c>
      <c r="D49" s="82">
        <f>'WRA Worksheet'!D49</f>
        <v>-1</v>
      </c>
    </row>
    <row r="50" spans="1:4" ht="15.95">
      <c r="A50" s="74">
        <v>8.0399999999999991</v>
      </c>
      <c r="B50" s="75" t="s">
        <v>107</v>
      </c>
      <c r="C50" s="76" t="str">
        <f>'WRA Worksheet'!C50</f>
        <v>y</v>
      </c>
      <c r="D50" s="82">
        <f>'WRA Worksheet'!D50</f>
        <v>1</v>
      </c>
    </row>
    <row r="51" spans="1:4" ht="15.95">
      <c r="A51" s="74">
        <v>8.0500000000000007</v>
      </c>
      <c r="B51" s="67" t="s">
        <v>110</v>
      </c>
      <c r="C51" s="76" t="str">
        <f>'WRA Worksheet'!C51</f>
        <v>?</v>
      </c>
      <c r="D51" s="82" t="str">
        <f>'WRA Worksheet'!D51</f>
        <v xml:space="preserve"> </v>
      </c>
    </row>
    <row r="52" spans="1:4" ht="15.95">
      <c r="A52" s="31"/>
      <c r="B52" s="32" t="s">
        <v>112</v>
      </c>
      <c r="C52" s="144">
        <f>'WRA Worksheet'!D53</f>
        <v>15</v>
      </c>
      <c r="D52" s="144"/>
    </row>
    <row r="53" spans="1:4" ht="15.95">
      <c r="A53" s="33"/>
      <c r="B53" s="34" t="s">
        <v>163</v>
      </c>
      <c r="C53" s="144" t="str" cm="1">
        <f t="array" ref="C53">IF(OR('WRA Worksheet'!C71:D71="yes", 'WRA Worksheet'!C72:D72="yes", 'WRA Worksheet'!C73:D73="yes"),"yes","no")</f>
        <v>no</v>
      </c>
      <c r="D53" s="144"/>
    </row>
    <row r="54" spans="1:4" ht="15.95">
      <c r="A54" s="33"/>
      <c r="B54" s="34" t="s">
        <v>164</v>
      </c>
      <c r="C54" s="144" t="str">
        <f>IF(C53="yes", 'WRA Worksheet'!C74, 'WRA Worksheet'!D54)</f>
        <v>reject</v>
      </c>
      <c r="D54" s="144"/>
    </row>
    <row r="55" spans="1:4" ht="15.95" thickBot="1">
      <c r="A55" s="35"/>
      <c r="B55" s="36"/>
      <c r="C55" s="36"/>
      <c r="D55" s="37"/>
    </row>
    <row r="56" spans="1:4" ht="30.95" thickTop="1">
      <c r="A56" s="38" t="s">
        <v>165</v>
      </c>
      <c r="B56" s="39" t="s">
        <v>166</v>
      </c>
      <c r="C56" s="40" t="s">
        <v>116</v>
      </c>
      <c r="D56" s="37"/>
    </row>
    <row r="57" spans="1:4">
      <c r="A57" s="41" t="s">
        <v>117</v>
      </c>
      <c r="B57" s="42">
        <f>'WRA Worksheet'!C57</f>
        <v>10</v>
      </c>
      <c r="C57" s="43" t="str">
        <f>IF(B57&gt;=2,"yes","no")</f>
        <v>yes</v>
      </c>
      <c r="D57" s="37"/>
    </row>
    <row r="58" spans="1:4">
      <c r="A58" s="41" t="s">
        <v>118</v>
      </c>
      <c r="B58" s="42">
        <f>'WRA Worksheet'!C58</f>
        <v>11</v>
      </c>
      <c r="C58" s="43" t="str">
        <f>IF(B58&gt;=2,"yes","no")</f>
        <v>yes</v>
      </c>
      <c r="D58" s="37"/>
    </row>
    <row r="59" spans="1:4">
      <c r="A59" s="41" t="s">
        <v>119</v>
      </c>
      <c r="B59" s="42">
        <f>'WRA Worksheet'!C59</f>
        <v>18</v>
      </c>
      <c r="C59" s="43" t="str">
        <f>IF(B59&gt;=6,"yes","no")</f>
        <v>yes</v>
      </c>
      <c r="D59" s="37"/>
    </row>
    <row r="60" spans="1:4" ht="15.95" thickBot="1">
      <c r="A60" s="44" t="s">
        <v>120</v>
      </c>
      <c r="B60" s="45">
        <f>'WRA Worksheet'!C60</f>
        <v>39</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ht="32.1">
      <c r="A5" s="30">
        <v>2.0099999999999998</v>
      </c>
      <c r="B5" s="52" t="str">
        <v>See climate suitability map</v>
      </c>
      <c r="C5" s="53">
        <v>0</v>
      </c>
    </row>
    <row r="6" spans="1:3">
      <c r="A6" s="30">
        <v>2.02</v>
      </c>
      <c r="B6" s="53" t="str">
        <v>See climate suitability map</v>
      </c>
      <c r="C6" s="54">
        <v>0</v>
      </c>
    </row>
    <row r="7" spans="1:3">
      <c r="A7" s="30">
        <v>2.0299999999999998</v>
      </c>
      <c r="B7" s="54" t="str">
        <v>See climate suitability map</v>
      </c>
      <c r="C7" s="53">
        <v>0</v>
      </c>
    </row>
    <row r="8" spans="1:3" ht="15.95">
      <c r="A8" s="30">
        <v>2.04</v>
      </c>
      <c r="B8" s="51" t="str">
        <v>See climate suitability map</v>
      </c>
      <c r="C8" s="51">
        <v>0</v>
      </c>
    </row>
    <row r="9" spans="1:3" ht="80.099999999999994">
      <c r="A9" s="30">
        <v>2.0499999999999998</v>
      </c>
      <c r="B9" s="51" t="str">
        <v>Native to Central and South America. Introduced to Carribean islands, Italy, parts of Africa, and South/SouthEast Asia (1). Occurecences found in the Pacific and Oceania as well (2)</v>
      </c>
      <c r="C9" s="53" t="str">
        <v>(1) https://powo.science.kew.org/taxon/urn:lsid:ipni.org:names:47927-2#distributions (2) https://www.gbif.org/occurrence/map?taxon_key=5414405</v>
      </c>
    </row>
    <row r="10" spans="1:3" ht="63.95">
      <c r="A10" s="30">
        <v>3.01</v>
      </c>
      <c r="B10" s="51" t="str">
        <v>Naturalized to the Bahamas (1) and Australia (2). Likely other locations as well</v>
      </c>
      <c r="C10" s="53" t="str">
        <v>(1) https://www.regionalconservation.org/ircs/database/plants/PlantPageBAH.asp?TXCODE=Thevperu (2) https://weeds.org.au/profiles/yellow-oleander-captain/</v>
      </c>
    </row>
    <row r="11" spans="1:3" ht="80.099999999999994">
      <c r="A11" s="30">
        <v>3.02</v>
      </c>
      <c r="B11" s="50" t="str">
        <v>"It is a very common garden plant in Brisbane and has naturalised' on ex-pasture land on St. Helena Island National Park near Brisbane, at Burleigh Heads and Rockhampton (Queensland). It appears to be an opportunistic plant, largely restricted to heavily disturbed habitats." (1) "It is an opportunistic plant and is found growing on disturbed habitats" (2)</v>
      </c>
      <c r="C11" s="53" t="str">
        <v>(1) https://weeds.org.au/wp-content/uploads/2020/04/potential.pdf (2) https://www.iucngisd.org/gisd/species.php?sc=1606</v>
      </c>
    </row>
    <row r="12" spans="1:3" ht="32.1">
      <c r="A12" s="30">
        <v>3.03</v>
      </c>
      <c r="B12" s="50" t="str">
        <v>Not enough information. Possible given the toxic nature of the plant and ability to invade pasturelands.</v>
      </c>
      <c r="C12" s="53">
        <v>0</v>
      </c>
    </row>
    <row r="13" spans="1:3" ht="63.95">
      <c r="A13" s="30">
        <v>3.04</v>
      </c>
      <c r="B13" s="51" t="str">
        <v>"This species and is regarded an an environmental weed in south-eastern Queensland, where it is on the list of the top 200 invasive naturalised plants, and as a priority weed in far northern Queensland. It is also seen as a potential sleeper weed in other states. It has already become established in conservation areas in south-eastern Queensland (e.g. St. Helena Island National Park near Brisbane), as well as in bushland and riparian areas, and has also been reported to invade coastal vegetation in northern Queensland (e.g. at Balgal Beach near Townsville)." (1) Described as an environmental weed in Kruger National Park, South Africa (2)</v>
      </c>
      <c r="C13" s="53" t="str">
        <v>(1) https://weeds.brisbane.qld.gov.au/weeds/yellow-oleander (2) https://gd.eppo.int/reporting/article-737</v>
      </c>
    </row>
    <row r="14" spans="1:3" ht="32.1">
      <c r="A14" s="30">
        <v>3.05</v>
      </c>
      <c r="B14" s="51" t="str">
        <v>No evidence</v>
      </c>
      <c r="C14" s="53">
        <v>0</v>
      </c>
    </row>
    <row r="15" spans="1:3">
      <c r="A15" s="30">
        <v>4.01</v>
      </c>
      <c r="B15" s="50" t="str">
        <v>No evidence</v>
      </c>
      <c r="C15" s="55">
        <v>0</v>
      </c>
    </row>
    <row r="16" spans="1:3" ht="15.95">
      <c r="A16" s="30">
        <v>4.0199999999999996</v>
      </c>
      <c r="B16" s="51" t="str">
        <v xml:space="preserve">Extracts shown to suppress seedling growth of Cypers rotundus. (1) However, no field studies found. </v>
      </c>
      <c r="C16" s="51" t="str">
        <v>(1) http://doi.org/10.4038/agrieast.v14i2.96</v>
      </c>
    </row>
    <row r="17" spans="1:3" ht="15.95">
      <c r="A17" s="30">
        <v>4.03</v>
      </c>
      <c r="B17" s="51" t="str">
        <v>No evidence</v>
      </c>
      <c r="C17" s="51">
        <v>0</v>
      </c>
    </row>
    <row r="18" spans="1:3" ht="80.099999999999994">
      <c r="A18" s="30">
        <v>4.04</v>
      </c>
      <c r="B18" s="51" t="str">
        <v xml:space="preserve">Unlikely given toxicity. </v>
      </c>
      <c r="C18" s="51">
        <v>0</v>
      </c>
    </row>
    <row r="19" spans="1:3" ht="48">
      <c r="A19" s="30">
        <v>4.05</v>
      </c>
      <c r="B19" s="51" t="str">
        <v>Ingestion causes poisoning and death (1). "All parts of the plants are very poisonous, especially the sap and oily seeds." (2)</v>
      </c>
      <c r="C19" s="51" t="str">
        <v>(1) Eddleston M, Ariaratnam CA, Meyer WP, Perera G, Kularatne AM, Attapattu S, Sheriff MH, Warrell DA. Epidemic of self-poisoning with seeds of the yellow oleander tree (Thevetia peruviana) in northern Sri Lanka. Trop Med Int Health. 1999 Apr;4(4):266-73. doi: 10.1046/j.1365-3156.1999.00397.x. PMID: 10357862. (2) https://keys.lucidcentral.org/keys/v3/eafrinet/weeds/key/weeds/Media/Html/Thevetia_peruviana_(Yellow_Oleander).htm</v>
      </c>
    </row>
    <row r="20" spans="1:3" ht="63.95">
      <c r="A20" s="30">
        <v>4.0599999999999996</v>
      </c>
      <c r="B20" s="51" t="str">
        <v>No evidence pests will increase damage or affect current control strategies.</v>
      </c>
      <c r="C20" s="51">
        <v>0</v>
      </c>
    </row>
    <row r="21" spans="1:3" ht="15.95">
      <c r="A21" s="30">
        <v>4.07</v>
      </c>
      <c r="B21" s="51" t="str">
        <v>Ingestion causes poisoning and death (1). "All parts of the plants are very poisonous, especially the sap and oily seeds." (2)</v>
      </c>
      <c r="C21" s="51" t="str">
        <v>(1) Eddleston M, Ariaratnam CA, Meyer WP, Perera G, Kularatne AM, Attapattu S, Sheriff MH, Warrell DA. Epidemic of self-poisoning with seeds of the yellow oleander tree (Thevetia peruviana) in northern Sri Lanka. Trop Med Int Health. 1999 Apr;4(4):266-73. doi: 10.1046/j.1365-3156.1999.00397.x. PMID: 10357862. (2) https://keys.lucidcentral.org/keys/v3/eafrinet/weeds/key/weeds/Media/Html/Thevetia_peruviana_(Yellow_Oleander).htm</v>
      </c>
    </row>
    <row r="22" spans="1:3" ht="32.1">
      <c r="A22" s="30">
        <v>4.08</v>
      </c>
      <c r="B22" s="51" t="str">
        <v>No evidence. Considered fire resistant (1)</v>
      </c>
      <c r="C22" s="53" t="str">
        <v>(1) https://everde.com/plant/thevetia-peruviana-yellow-oleander/</v>
      </c>
    </row>
    <row r="23" spans="1:3" ht="48">
      <c r="A23" s="30">
        <v>4.09</v>
      </c>
      <c r="B23" s="51" t="str">
        <v>Prefers full o partial sun (1) (2)</v>
      </c>
      <c r="C23" s="51" t="str">
        <v>(1) https://everde.com/plant/thevetia-peruviana-yellow-oleander/ (2) https://plants.rainbowgardens.biz/12250005/Plant/18208/Yellow_Oleander/</v>
      </c>
    </row>
    <row r="24" spans="1:3" ht="32.1">
      <c r="A24" s="30">
        <v>4.0999999999999996</v>
      </c>
      <c r="B24" s="51" t="str">
        <v>"It prefers fertile, well-drained soils, but can survive on most soils." (1) "Grows best in poor soils, and is able to handle environmental salt." (2)</v>
      </c>
      <c r="C24" s="51" t="str">
        <v>(1) https://weeds.org.au/wp-content/uploads/2020/04/potential.pdf (2) https://plants.rainbowgardens.biz/12250005/Plant/18208/Yellow_Oleander/</v>
      </c>
    </row>
    <row r="25" spans="1:3" ht="15.95">
      <c r="A25" s="30">
        <v>4.1100000000000003</v>
      </c>
      <c r="B25" s="51" t="str">
        <v>No evidence</v>
      </c>
      <c r="C25" s="51">
        <v>0</v>
      </c>
    </row>
    <row r="26" spans="1:3" ht="15.95">
      <c r="A26" s="30">
        <v>4.12</v>
      </c>
      <c r="B26" s="51" t="str">
        <v>Noted to create dense thickets (1) (2)</v>
      </c>
      <c r="C26" s="51" t="str">
        <v>(1) https://www.cabidigitallibrary.org/doi/full/10.1079/cabicompendium.53608 (2) https://wildlifeofhawaii.com/flowers/author/admin/page/5/</v>
      </c>
    </row>
    <row r="27" spans="1:3" ht="15.95">
      <c r="A27" s="30">
        <v>5.01</v>
      </c>
      <c r="B27" s="51" t="str">
        <v>No evidence</v>
      </c>
      <c r="C27" s="51">
        <v>0</v>
      </c>
    </row>
    <row r="28" spans="1:3" ht="15.95">
      <c r="A28" s="30">
        <v>5.0199999999999996</v>
      </c>
      <c r="B28" s="51" t="str">
        <v>Not of the poaceae family</v>
      </c>
      <c r="C28" s="51">
        <v>0</v>
      </c>
    </row>
    <row r="29" spans="1:3" ht="15.95">
      <c r="A29" s="30">
        <v>5.03</v>
      </c>
      <c r="B29" s="51" t="str">
        <v>No evidence</v>
      </c>
      <c r="C29" s="51">
        <v>0</v>
      </c>
    </row>
    <row r="30" spans="1:3" ht="15.95">
      <c r="A30" s="30">
        <v>5.04</v>
      </c>
      <c r="B30" s="51" t="str">
        <v>No evidence</v>
      </c>
      <c r="C30" s="51">
        <v>0</v>
      </c>
    </row>
    <row r="31" spans="1:3" ht="27.95">
      <c r="A31" s="30">
        <v>6.01</v>
      </c>
      <c r="B31" s="50" t="str">
        <v>No evidence</v>
      </c>
      <c r="C31" s="51">
        <v>0</v>
      </c>
    </row>
    <row r="32" spans="1:3" ht="48">
      <c r="A32" s="30">
        <v>6.02</v>
      </c>
      <c r="B32" s="51" t="str">
        <v>Reproduces by seed (1) (2)</v>
      </c>
      <c r="C32" s="51" t="str">
        <v>(1) https://keys.lucidcentral.org/keys/v3/eafrinet/weeds/key/weeds/Media/Html/Thevetia_peruviana_(Yellow_Oleander).htm (2) https://wildlifeofhawaii.com/flowers/author/admin/page/5/</v>
      </c>
    </row>
    <row r="33" spans="1:3" ht="48">
      <c r="A33" s="30">
        <v>6.03</v>
      </c>
      <c r="B33" s="51" t="str">
        <v>Not enough information found.</v>
      </c>
      <c r="C33" s="51">
        <v>0</v>
      </c>
    </row>
    <row r="34" spans="1:3" ht="32.1">
      <c r="A34" s="30">
        <v>6.04</v>
      </c>
      <c r="B34" s="51" t="str">
        <v>Not enough information found.</v>
      </c>
      <c r="C34" s="51">
        <v>0</v>
      </c>
    </row>
    <row r="35" spans="1:3" ht="15.95">
      <c r="A35" s="30">
        <v>6.05</v>
      </c>
      <c r="B35" s="51" t="str">
        <v>Attracts hummingbirds and butterflies (1)</v>
      </c>
      <c r="C35" s="51" t="str">
        <v>(1) https://everde.com/plant/thevetia-peruviana-yellow-oleander/</v>
      </c>
    </row>
    <row r="36" spans="1:3" ht="15.95">
      <c r="A36" s="30">
        <v>6.06</v>
      </c>
      <c r="B36" s="51" t="str">
        <v>Can be propagated by cuttings (1)</v>
      </c>
      <c r="C36" s="51" t="str">
        <v>(1) https://keys.lucidcentral.org/keys/v3/eafrinet/weeds/key/weeds/Media/Html/Thevetia_peruviana_(Yellow_Oleander).htm (2) https://prota.prota4u.org/protav8.asp?g=pe&amp;p=Thevetia+peruviana</v>
      </c>
    </row>
    <row r="37" spans="1:3" ht="15.95">
      <c r="A37" s="30">
        <v>6.07</v>
      </c>
      <c r="B37" s="51" t="str">
        <v>Not enough information found. Other assessments state 4 years, but one study state that mature fruits were manually collected 10-12 months after planting (1). Answered UNKNOWN</v>
      </c>
      <c r="C37" s="51" t="str">
        <v>(1) Aboyeji, C.M., and Abayomi, Y.A., (2013). Performance of thevetia peruviana (pers.) schum. under two agronomic management practices (irrigation and application of in-organic fertilizers) in Edidi Souther Nigeria. Journal of Tropical Agriculture, Food, Environment and extension. 12(1) 37-47. https://www.cabidigitallibrary.org/doi/pdf/10.5555/20183282028</v>
      </c>
    </row>
    <row r="38" spans="1:3" ht="80.099999999999994">
      <c r="A38" s="30">
        <v>7.01</v>
      </c>
      <c r="B38" s="51" t="str">
        <v>Described to be spread by garden waste (1) (2)</v>
      </c>
      <c r="C38" s="51" t="str">
        <v>(1) https://www.business.qld.gov.au/industries/farms-fishing-forestry/agriculture/biosecurity/plants/invasive/restricted/captain-cook-tree (2) https://keyserver.lucidcentral.org/weeds/data/media/Html/cascabela_thevetia.htm</v>
      </c>
    </row>
    <row r="39" spans="1:3" ht="32.1">
      <c r="A39" s="30">
        <v>7.02</v>
      </c>
      <c r="B39" s="51" t="str">
        <v>Sold online (1) (2)</v>
      </c>
      <c r="C39" s="51" t="str">
        <v>(1) https://www.moonvalleynurseries.com/products/trees/thevetia (2) https://sheffields.com/seeds-for-sale/Thevetia/peruviana/6084/Luckynut,-Yellow-Oleander/Luckynut,-Yellow-Oleander</v>
      </c>
    </row>
    <row r="40" spans="1:3" ht="63.95">
      <c r="A40" s="30">
        <v>7.03</v>
      </c>
      <c r="B40" s="50" t="str">
        <v>No evidence</v>
      </c>
      <c r="C40" s="51">
        <v>0</v>
      </c>
    </row>
    <row r="41" spans="1:3" ht="15.95">
      <c r="A41" s="30">
        <v>7.04</v>
      </c>
      <c r="B41" s="51" t="str">
        <v>No evidence</v>
      </c>
      <c r="C41" s="51">
        <v>0</v>
      </c>
    </row>
    <row r="42" spans="1:3" ht="15.95">
      <c r="A42" s="30">
        <v>7.05</v>
      </c>
      <c r="B42" s="51" t="str">
        <v>Not enough information found regarding floating potential</v>
      </c>
      <c r="C42" s="51">
        <v>0</v>
      </c>
    </row>
    <row r="43" spans="1:3" ht="15.95">
      <c r="A43" s="30">
        <v>7.06</v>
      </c>
      <c r="B43" s="51" t="str">
        <v>Fruits fleshy. Birds observed eating or moving fruits (1) (2)</v>
      </c>
      <c r="C43" s="51" t="str">
        <v>(1) Turaga, J., 2011. Oriental White-eye Zosterops palpebrosus and Purple Sunbird Nectarinia asiatica feeding
on yellow oleander Thevetia peruviana Indian BIRDS 7 (2): 53. https://indianbirds.in/pdfs/IB7.2_Turaga_Oleander.pdf (2) https://besgroup.org/2008/11/24/cockatoos-and-yellow-oleander/</v>
      </c>
    </row>
    <row r="44" spans="1:3" ht="32.1">
      <c r="A44" s="30">
        <v>7.07</v>
      </c>
      <c r="B44" s="51" t="str">
        <v>No evidence</v>
      </c>
      <c r="C44" s="51">
        <v>0</v>
      </c>
    </row>
    <row r="45" spans="1:3" ht="32.1">
      <c r="A45" s="30">
        <v>7.08</v>
      </c>
      <c r="B45" s="50" t="str">
        <v>No evidence of non-avian animals consuming fruits. Potentially reptiles, but not enough information found.</v>
      </c>
      <c r="C45" s="51">
        <v>0</v>
      </c>
    </row>
    <row r="46" spans="1:3" ht="48">
      <c r="A46" s="30">
        <v>8.01</v>
      </c>
      <c r="B46" s="50" t="str">
        <v>Described to produce 400-800 fruits per year. Each fruit contains one seed. (1)</v>
      </c>
      <c r="C46" s="51" t="str">
        <v>(1) https://jatropha.pro/thevetia-peruviana/</v>
      </c>
    </row>
    <row r="47" spans="1:3" ht="48">
      <c r="A47" s="30">
        <v>8.02</v>
      </c>
      <c r="B47" s="51" t="str">
        <v>Not enough information found</v>
      </c>
      <c r="C47" s="51">
        <v>0</v>
      </c>
    </row>
    <row r="48" spans="1:3" ht="48">
      <c r="A48" s="30">
        <v>8.0299999999999994</v>
      </c>
      <c r="B48" s="51" t="str">
        <v xml:space="preserve">Herbicides noted to be effective when combined with mechanical treatments (1) </v>
      </c>
      <c r="C48" s="51" t="str">
        <v>(1) https://www.business.qld.gov.au/industries/farms-fishing-forestry/agriculture/biosecurity/plants/invasive/restricted/captain-cook-tree</v>
      </c>
    </row>
    <row r="49" spans="1:3" ht="48">
      <c r="A49" s="30">
        <v>8.0399999999999991</v>
      </c>
      <c r="B49" s="51" t="str">
        <v>Given ability to be propagated vegetatively, possible. Noted to coppice well. (1)</v>
      </c>
      <c r="C49" s="51" t="str">
        <v>(1) https://prota.prota4u.org/protav8.asp?g=pe&amp;p=Thevetia+peruviana</v>
      </c>
    </row>
    <row r="50" spans="1:3">
      <c r="A50" s="30">
        <v>8.0500000000000007</v>
      </c>
      <c r="B50" s="50" t="str">
        <v>Not enough information</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3F68E-0B40-427D-AE8D-97FC453AEB13}"/>
</file>

<file path=customXml/itemProps2.xml><?xml version="1.0" encoding="utf-8"?>
<ds:datastoreItem xmlns:ds="http://schemas.openxmlformats.org/officeDocument/2006/customXml" ds:itemID="{624714E1-6774-437D-801A-4B8EB940739E}"/>
</file>

<file path=customXml/itemProps3.xml><?xml version="1.0" encoding="utf-8"?>
<ds:datastoreItem xmlns:ds="http://schemas.openxmlformats.org/officeDocument/2006/customXml" ds:itemID="{C72C3439-75BE-411A-8E6B-DF10E44BED2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2025-04-28T17:39:04Z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