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16"/>
  <workbookPr defaultThemeVersion="166925"/>
  <mc:AlternateContent xmlns:mc="http://schemas.openxmlformats.org/markup-compatibility/2006">
    <mc:Choice Requires="x15">
      <x15ac:absPath xmlns:x15ac="http://schemas.microsoft.com/office/spreadsheetml/2010/11/ac" url="/Users/seokminkim/Desktop/Assessments/"/>
    </mc:Choice>
  </mc:AlternateContent>
  <xr:revisionPtr revIDLastSave="200" documentId="13_ncr:1_{C116D94F-4D03-3B40-8287-B36BBAD89845}" xr6:coauthVersionLast="47" xr6:coauthVersionMax="47" xr10:uidLastSave="{11C496EB-EAA1-44B0-BA13-506084C9415F}"/>
  <bookViews>
    <workbookView xWindow="1420" yWindow="760" windowWidth="27260" windowHeight="17140" xr2:uid="{DC9EAAB9-A961-4D36-B025-37CCF3FD5897}"/>
  </bookViews>
  <sheets>
    <sheet name="WRA Worksheet" sheetId="1" r:id="rId1"/>
    <sheet name="LUT" sheetId="2" r:id="rId2"/>
    <sheet name="PDF Template Scoresheet" sheetId="3" r:id="rId3"/>
    <sheet name="PDF Template Refs &amp; Data" sheetId="4" r:id="rId4"/>
  </sheets>
  <definedNames>
    <definedName name="_xlnm._FilterDatabase" localSheetId="0" hidden="1">'WRA Worksheet'!$B$65:$C$67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1" l="1"/>
  <c r="D4" i="3" s="1"/>
  <c r="A1" i="3"/>
  <c r="D71" i="1"/>
  <c r="D73" i="1"/>
  <c r="C74" i="1" s="1"/>
  <c r="C53" i="3" a="1"/>
  <c r="C53" i="3" s="1"/>
  <c r="D72" i="1"/>
  <c r="I26" i="2"/>
  <c r="I27" i="2"/>
  <c r="D3" i="1"/>
  <c r="D3" i="3" s="1"/>
  <c r="D5" i="1"/>
  <c r="D5" i="3" s="1"/>
  <c r="D8" i="1"/>
  <c r="D8" i="3" s="1"/>
  <c r="D9" i="1"/>
  <c r="D9" i="3" s="1"/>
  <c r="D11" i="1"/>
  <c r="D11" i="3" s="1"/>
  <c r="D12" i="1"/>
  <c r="D12" i="3" s="1"/>
  <c r="D13" i="1"/>
  <c r="D13" i="3" s="1"/>
  <c r="D14" i="1"/>
  <c r="D14" i="3" s="1"/>
  <c r="D15" i="1"/>
  <c r="D15" i="3" s="1"/>
  <c r="D16" i="1"/>
  <c r="D16" i="3" s="1"/>
  <c r="D17" i="1"/>
  <c r="D17" i="3" s="1"/>
  <c r="D18" i="1"/>
  <c r="D18" i="3" s="1"/>
  <c r="D19" i="1"/>
  <c r="D19" i="3" s="1"/>
  <c r="D20" i="1"/>
  <c r="D20" i="3" s="1"/>
  <c r="D21" i="1"/>
  <c r="D21" i="3" s="1"/>
  <c r="D22" i="1"/>
  <c r="D22" i="3" s="1"/>
  <c r="D23" i="1"/>
  <c r="D23" i="3" s="1"/>
  <c r="D24" i="1"/>
  <c r="D24" i="3" s="1"/>
  <c r="D25" i="1"/>
  <c r="D25" i="3" s="1"/>
  <c r="D26" i="1"/>
  <c r="D26" i="3" s="1"/>
  <c r="D27" i="1"/>
  <c r="D27" i="3" s="1"/>
  <c r="D28" i="1"/>
  <c r="D28" i="3" s="1"/>
  <c r="D29" i="1"/>
  <c r="D29" i="3" s="1"/>
  <c r="D30" i="1"/>
  <c r="D30" i="3" s="1"/>
  <c r="D31" i="1"/>
  <c r="D31" i="3" s="1"/>
  <c r="D32" i="1"/>
  <c r="D32" i="3" s="1"/>
  <c r="D33" i="1"/>
  <c r="D33" i="3" s="1"/>
  <c r="D34" i="1"/>
  <c r="D34" i="3" s="1"/>
  <c r="D35" i="1"/>
  <c r="D35" i="3" s="1"/>
  <c r="D36" i="1"/>
  <c r="D36" i="3" s="1"/>
  <c r="D37" i="1"/>
  <c r="D37" i="3" s="1"/>
  <c r="D38" i="1"/>
  <c r="D38" i="3" s="1"/>
  <c r="D39" i="1"/>
  <c r="D39" i="3" s="1"/>
  <c r="D40" i="1"/>
  <c r="D40" i="3" s="1"/>
  <c r="D41" i="1"/>
  <c r="D41" i="3" s="1"/>
  <c r="D42" i="1"/>
  <c r="D42" i="3" s="1"/>
  <c r="D43" i="1"/>
  <c r="D43" i="3" s="1"/>
  <c r="D44" i="1"/>
  <c r="D44" i="3" s="1"/>
  <c r="D45" i="1"/>
  <c r="D45" i="3" s="1"/>
  <c r="D46" i="1"/>
  <c r="D46" i="3" s="1"/>
  <c r="D47" i="1"/>
  <c r="D47" i="3" s="1"/>
  <c r="D48" i="1"/>
  <c r="D48" i="3" s="1"/>
  <c r="D49" i="1"/>
  <c r="D49" i="3" s="1"/>
  <c r="D50" i="1"/>
  <c r="D50" i="3" s="1"/>
  <c r="D51" i="1"/>
  <c r="D51" i="3" s="1"/>
  <c r="C57" i="1"/>
  <c r="B57" i="3" s="1"/>
  <c r="C57" i="3" s="1"/>
  <c r="C58" i="1"/>
  <c r="B58" i="3" s="1"/>
  <c r="C58" i="3" s="1"/>
  <c r="C59" i="1"/>
  <c r="B59" i="3" s="1"/>
  <c r="C59" i="3" s="1"/>
  <c r="B2" i="4" a="1"/>
  <c r="B2" i="4" s="1"/>
  <c r="C51" i="3"/>
  <c r="C50" i="3"/>
  <c r="C49" i="3"/>
  <c r="C48" i="3"/>
  <c r="C47" i="3"/>
  <c r="C46" i="3"/>
  <c r="C45" i="3"/>
  <c r="C44" i="3"/>
  <c r="C43" i="3"/>
  <c r="C42" i="3"/>
  <c r="C41" i="3"/>
  <c r="C40" i="3"/>
  <c r="C39" i="3"/>
  <c r="C38" i="3"/>
  <c r="C37" i="3"/>
  <c r="C36" i="3"/>
  <c r="C35" i="3"/>
  <c r="C34" i="3"/>
  <c r="C33" i="3"/>
  <c r="C32" i="3"/>
  <c r="C31" i="3"/>
  <c r="C30" i="3"/>
  <c r="C29" i="3"/>
  <c r="C28" i="3"/>
  <c r="C27" i="3"/>
  <c r="C26" i="3"/>
  <c r="C25" i="3"/>
  <c r="C24" i="3"/>
  <c r="C23" i="3"/>
  <c r="C22" i="3"/>
  <c r="C21" i="3"/>
  <c r="C20" i="3"/>
  <c r="C19" i="3"/>
  <c r="C18" i="3"/>
  <c r="C17" i="3"/>
  <c r="C16" i="3"/>
  <c r="C15" i="3"/>
  <c r="C14" i="3"/>
  <c r="C13" i="3"/>
  <c r="C12" i="3"/>
  <c r="C11" i="3"/>
  <c r="C10" i="3"/>
  <c r="C9" i="3"/>
  <c r="C8" i="3"/>
  <c r="C7" i="3"/>
  <c r="C6" i="3"/>
  <c r="C4" i="3"/>
  <c r="C5" i="3"/>
  <c r="C3" i="3"/>
  <c r="D59" i="1" l="1"/>
  <c r="D58" i="1"/>
  <c r="C60" i="3"/>
  <c r="C60" i="1"/>
  <c r="B60" i="3" s="1"/>
  <c r="D57" i="1"/>
  <c r="D53" i="1"/>
  <c r="D60" i="1" l="1"/>
  <c r="D54" i="1"/>
  <c r="C54" i="3" s="1"/>
  <c r="C52"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<sst xmlns="http://schemas.openxmlformats.org/spreadsheetml/2006/main" count="336" uniqueCount="167">
  <si>
    <t>Species:</t>
  </si>
  <si>
    <t>Ipomoea asarifolia aka Amphione asarifolia and Convolvulus asarifolius (ginger-leaf morning-glory) Family: Convolvulaceae</t>
  </si>
  <si>
    <r>
      <rPr>
        <sz val="11"/>
        <color rgb="FF000000"/>
        <rFont val="Calibri"/>
      </rPr>
      <t>Assessment date: May 1, 2025</t>
    </r>
    <r>
      <rPr>
        <sz val="11"/>
        <color rgb="FFFF0000"/>
        <rFont val="Calibri"/>
      </rPr>
      <t xml:space="preserve"> </t>
    </r>
    <r>
      <rPr>
        <sz val="11"/>
        <color rgb="FF000000"/>
        <rFont val="Calibri"/>
      </rPr>
      <t xml:space="preserve"> Prepared by Seokmin Kim</t>
    </r>
  </si>
  <si>
    <t>Number</t>
  </si>
  <si>
    <t>Question</t>
  </si>
  <si>
    <t>Answer</t>
  </si>
  <si>
    <t>Score</t>
  </si>
  <si>
    <t>Uncertainty</t>
  </si>
  <si>
    <t>Evidence</t>
  </si>
  <si>
    <t>Reference</t>
  </si>
  <si>
    <t>Is the species highly domesticated?</t>
  </si>
  <si>
    <t>n</t>
  </si>
  <si>
    <t>No evidence</t>
  </si>
  <si>
    <t>Has the species become naturalised where grown?</t>
  </si>
  <si>
    <t>Does the species have weedy races?</t>
  </si>
  <si>
    <t>Species suited to Florida's USDA climate zones (1-low; 2-intermediate; 3-high)
       North Zone: suited to Zones 8, 9
       Central Zone: suited to Zones 9, 10
       South Zone: suited to Zone 10</t>
  </si>
  <si>
    <t>See attached climate suitability map</t>
  </si>
  <si>
    <t>Quality of climate match data (1-low; 2-intermediate; 3-high)</t>
  </si>
  <si>
    <t>Broad climate suitability (environmental versatility)</t>
  </si>
  <si>
    <t>Native or naturalized in habitats with periodic inundation
       North Zone: mean annual precipitation 50-70 inches
       Central Zone: mean annual precipitation 40-60 inches
       South Zone: mean annual precipitation 40-60 inches</t>
  </si>
  <si>
    <t>y</t>
  </si>
  <si>
    <t>Does the species have a history of repeated introductions outside its natural range?</t>
  </si>
  <si>
    <t>?</t>
  </si>
  <si>
    <t>Noted as being native to Central America, South America, Central Africa and South Asia. Only non-native populations found in Florida (1). However, native range is noted to be uncertain. Few populations in southern Florida, which may originate from a single introduced populations (2). No reliable occurences found outside of "native" range (3). Given unclear native range and few occurences in Florida, unclear if there is a history of repeated introductions outside of its natural range.</t>
  </si>
  <si>
    <t>(1) https://powo.science.kew.org/taxon/urn:lsid:ipni.org:names:268434-1 (2) Wetterer, J.K. 2024. Spread of the non-native ginger-leaf morning-glory, Ipomoea asarifolia, in south Florida. Phytoneuron 2024-76: 1–16. Published 11 November 2024. ISSN 2153 733X (3) https://www.gbif.org/species/2928595</t>
  </si>
  <si>
    <t>Naturalized beyond native range</t>
  </si>
  <si>
    <t>Naturalized populations found in southern Florida (1) (2)</t>
  </si>
  <si>
    <t>(1) Wetterer, J.K. 2024. Spread of the non-native ginger-leaf morning-glory, Ipomoea asarifolia, in south Florida. Phytoneuron 2024-76: 1–16. Published 11 November 2024. ISSN 2153 733X (2) https://regionalconservation.org/ircs/Database/plants/PlantPage.asp?TXCODE=Ipomasar</t>
  </si>
  <si>
    <t>Garden/amenity/disturbance weed</t>
  </si>
  <si>
    <t xml:space="preserve"> Not much information regarding its weedy nature in these areas. However, taxon is found along disturbed areas such as roadside ditches (1). Therefore, it is possible. Answered UNKNOWN</t>
  </si>
  <si>
    <t>(1) BURKS, KATHLEEN CRADDOCK, and DANIEL F. AUSTIN. “IPOMOEA ASARIFOLIA (CONVOLVULACEAE), ANOTHER POTENTIAL EXOTIC PEST IN THE UNITED STATES.” SIDA, Contributions to Botany 18, no. 4 (1999): 1267–72. http://www.jstor.org/stable/41967737.</t>
  </si>
  <si>
    <t>Weed of agriculture</t>
  </si>
  <si>
    <t>Noted to be an agricultural weed. Taxon dominated green forage available in Brazil. Toxins from plants eaten by sheep shown to poison their milk, thus harming their young (1) Noted to cause high number of poisonings in ruminants (2)</t>
  </si>
  <si>
    <t>(1) Carvalho de Lucena, K.F., J.M.N. Rodrigues, É.M. Campos, A.F.M. Dantas, J.A. Pfister, D. Cook, R.M.T. Medeiros, and F. Riet-Correa. 2014. Poisoning by Ipomoea asarifolia in lambs by the ingestion of milk from ewes that ingest the plant. Toxicon 92: 129–132. (2) Pessoa, C.R., R.M. Medeiros, and F. Riet-Correa. 2013. Importância econômica, epidemiologia e controle das intoxicações por plantas no brasil. Pesq. Vet. Bras. 33: 752–758.</t>
  </si>
  <si>
    <t>Environmental weed</t>
  </si>
  <si>
    <t>Noted to be "thiriving in relatively intact, managed natural areas in South Florida." (1). However, unclear if it is having a significat impact on native plant/animal communities. Answered UNKNOWN</t>
  </si>
  <si>
    <t>(1) Wetterer, J.K. 2024. Spread of the non-native ginger-leaf morning-glory, Ipomoea asarifolia, in south Florida. Phytoneuron 2024-76: 1–16. Published 11 November 2024. ISSN 2153 733X</t>
  </si>
  <si>
    <t>Congeneric weed</t>
  </si>
  <si>
    <t>Ipomoea aquatica and Ipomoea fistulosa considered weedy (among others) (1) (2)</t>
  </si>
  <si>
    <t>(1) https://www.fdacs.gov/Agriculture-Industry/Pests-and-Diseases/Plant-Pests-and-Diseases/Noxious-Weeds/Ipomoea-aquatica (2) https://www.fdacs.gov/Agriculture-Industry/Pests-and-Diseases/Plant-Pests-and-Diseases/Noxious-Weeds/Ipomoea-fistulosa</t>
  </si>
  <si>
    <t>Produces spines, thorns or burrs</t>
  </si>
  <si>
    <t>Allelopathic</t>
  </si>
  <si>
    <t>Allelopathic compounds found. (1) (2) However, no studies directly examininig this in the field found</t>
  </si>
  <si>
    <t>(1) CANTANHEDE, J. C. (2022). FITOTOXICIDADE DA ESPECIE Ipomoea asarifolia (Desr.) Roem. &amp; Schultz NO CONTROLE DE PLANTAS DANINHAS. - http://tedebc.ufma.br:8080/jspui/bitstream/tede/5641/2/JOECILA%20CORDEIRO%20CANTANHEDE.pdf (2) da Mata, R. R., Oliveira, R. R., Pereira, S. G., Rocha, T. L., Castro Aguiar, J. V., &amp; Silva-Matos, R. R. S. D. (2025). Phytochemical analysis of secondary metabolites from the flowers and roots of the plant Ipomoea asarifolia. Natural Product Research, 1-5. - https://www.tandfonline.com/doi/pdf/10.1080/14786419.2025.2473563?casa_token=taniKODyO48AAAAA:BjEbugNH4dJ1g3al7HSA2gRJXWfeF4I9_oFGtGIeph2FWhOYJ4tz0pUJpk6EasaWuyY9MjF1jPB0</t>
  </si>
  <si>
    <t>Parasitic</t>
  </si>
  <si>
    <t>Unpalatable to grazing animals</t>
  </si>
  <si>
    <t>Despite being toxic, livestock appear to consume the taxon (1) (2)</t>
  </si>
  <si>
    <t>Toxic to animals</t>
  </si>
  <si>
    <t>Host for recognised pests and pathogens</t>
  </si>
  <si>
    <t>Not enough information found</t>
  </si>
  <si>
    <t>Causes allergies or is otherwise toxic to humans</t>
  </si>
  <si>
    <t>Considered toxic to livestock (see above). Leaf contains toxins (1) (2). Could feasilby be consumed by people accidentally. However, no evidence of this causing poisonings in people. Answered UNKNOWN</t>
  </si>
  <si>
    <t xml:space="preserve">(1) Salles, H. O., Vasconcelos, I. M., Santos, L. F. L., Oliveira, H. D., Costa, P. P. C., Nascimento, N. R. F., Santos, C. F., Sousa, D. F., Jorge, A. R. C., Menezes, D. B., Monteiro, H. S. A., Gondim, D. M. F., &amp; Oliveira, J. T. A. (2011). Towards a better understanding of Ipomoea asarifolia toxicity: Evidence of the involvement of a leaf lectin. Toxicon, 58(6–7), 502–508. https://doi.org/10.1016/j.toxicon.2011.08.011 (2) Akindele, A. J., Unachukwu, E. G., &amp; Osiagwu, D. D. (2015). 90 Days toxicological assessment of hydroethanolic leaf extract of Ipomoea asarifolia (Desr.) Roem. and Schult.(Convolvulaceae) in rats. Journal of ethnopharmacology, 174, 582-594.
</t>
  </si>
  <si>
    <t>Creates a fire hazard in natural ecosystems</t>
  </si>
  <si>
    <t>Is a shade tolerant plant at some stage of its life cycle</t>
  </si>
  <si>
    <t>Noted to survive and grow in low light conditions, although performance seems to be lower than in plants grown in sun (1) (2)</t>
  </si>
  <si>
    <t>(1) Dias-Filho, M. B. (1999). Physiological responses of two tropical weeds to shade: I. Growth and biomass allocation. Pesquisa Agropecuária Brasileira, 34, 944-952. (2) Dias-Filho, M. B. (1999). Physiological responses of two tropical weeds to shade: II. Leaf gas exchange and nitrogen content. Pesquisa Agropecuária Brasileira, 34, 952-961.</t>
  </si>
  <si>
    <t>Grows on infertile soils (oligotrophic, limerock, or excessively draining soils).  North &amp; Central Zones: infertile soils; South Zone: shallow limerock or Histisols.</t>
  </si>
  <si>
    <t>Noted to thrive in sandy or gravelly soils (1) (2)</t>
  </si>
  <si>
    <t>(1) https://plantiary.com/plant/ipomoea-asarifolia_6585.html (2) https://portal.wiktrop.org/species/show/608</t>
  </si>
  <si>
    <t>Climbing or smothering growth habit</t>
  </si>
  <si>
    <t>Taxon is a vine</t>
  </si>
  <si>
    <t>Forms dense thickets</t>
  </si>
  <si>
    <t>Aquatic</t>
  </si>
  <si>
    <t>Grass</t>
  </si>
  <si>
    <t>Not of the Poaceae family</t>
  </si>
  <si>
    <t>Nitrogen fixing woody plant</t>
  </si>
  <si>
    <t>Geophyte</t>
  </si>
  <si>
    <t xml:space="preserve">Noted to have taproots (1). However, not described as a geophyte. </t>
  </si>
  <si>
    <t>(1) https://portal.wiktrop.org/species/show/608</t>
  </si>
  <si>
    <t>Evidence of substantial reproductive failure in native habitat</t>
  </si>
  <si>
    <t>Produces viable seed</t>
  </si>
  <si>
    <t>Propagates by seed (1) (2)</t>
  </si>
  <si>
    <t>(1) https://davesgarden.com/guides/pf/go/81858 (2) Ogunwenmo, K.O. 2006. Variation in fruit and seed morphology, germination and seedling behaviour
of some taxa of Ipomoea L. (Convolvulaceae). Feddes Repert. 117: 207–216.</t>
  </si>
  <si>
    <t>Hybridizes naturally</t>
  </si>
  <si>
    <t>Shown to be incompatible to other Ipomoea species (1) despite being in sympatry (2).</t>
  </si>
  <si>
    <t>(1) Santos, B. Y. M., de Matos Costa, K., de Almeida, N. M., Buril, M. T., Santos, A. M. M., &amp; Leite, A. V. (2024). Influence of incompatible pollen grains on the reproductive success of Ipomoea asarifolia (Desr.) Roem. &amp; Schult.(Convolvulaceae) in Restinga, RN, Brazil. Brazilian Journal of Botany, 47(1), 229-234. (2) Santos BYM (2023) Isolamento reprodutivo entre espécies sincronopátricas de Ipomoea L. em uma área de Restinga no Rio Grande do Norte. PhD Thesis. Universidade Federal Rural de Pernambuco, Brazil</t>
  </si>
  <si>
    <t>Self-compatible or apomictic</t>
  </si>
  <si>
    <t>Determined to be self incompatible (1)</t>
  </si>
  <si>
    <t>(1) Kiill PLH, RangA NT (2003) Ecologia da polinização de Ipomoea asarifolia (Ders.) Roem. &amp; Schult. (Convolvulaceae) na região semi-árida de Pernambuco. Acta Bot Bras 17:355–362. https://doi.org/10.1590/S0102-33062003000300003</t>
  </si>
  <si>
    <t>Requires specialist pollinators</t>
  </si>
  <si>
    <t>Pollinated by insects (1) (2)</t>
  </si>
  <si>
    <t>(1) Santos, B. Y. M., de Matos Costa, K., de Almeida, N. M., Buril, M. T., Santos, A. M. M., &amp; Leite, A. V. (2024). Influence of incompatible pollen grains on the reproductive success of Ipomoea asarifolia (Desr.) Roem. &amp; Schult.(Convolvulaceae) in Restinga, RN, Brazil. Brazilian Journal of Botany, 47(1), 229-234. (2) Kiill PLH, RangA NT (2003) Ecologia da polinização de Ipomoea asarifolia (Ders.) Roem. &amp; Schult. (Convolvulaceae) na região semi-árida de Pernambuco. Acta Bot Bras 17:355–362. https://doi.org/10.1590/S0102-33062003000300003</t>
  </si>
  <si>
    <t>Reproduction by vegetative propagation</t>
  </si>
  <si>
    <t>Noted to be easily propagated by stem fragments (1) (2) (3)</t>
  </si>
  <si>
    <t>(1) BURKS, KATHLEEN CRADDOCK, and DANIEL F. AUSTIN. “IPOMOEA ASARIFOLIA (CONVOLVULACEAE), ANOTHER POTENTIAL EXOTIC PEST IN THE UNITED STATES.” SIDA, Contributions to Botany 18, no. 4 (1999): 1267–72. http://www.jstor.org/stable/41967737. (2) https://earthone.io/plant/ipomoea%20asarifolia?srsltid=AfmBOoqie8oRff9PIgTBd7_HOWbbewLh2lE3Xa4194YlsEm3jBxDEjKO (3) https://propagate.one/how-to-propagate-ipomoea-asarifolia/</t>
  </si>
  <si>
    <t>Minimum generative time (years)</t>
  </si>
  <si>
    <t>Propagules likely to be dispersed unintentionally (plants growing in heavily trafficked areas)</t>
  </si>
  <si>
    <t>Noted as being likely (1). However, not enough supporting evidence found.</t>
  </si>
  <si>
    <t>Propagules dispersed intentionally by people</t>
  </si>
  <si>
    <t>Online sales not found, but multiple guides on hwo to grow and propgate taxon found (1) (2)</t>
  </si>
  <si>
    <t>(1) https://propagate.one/how-to-propagate-ipomoea-asarifolia/ (2) https://earthone.io/plant/ipomoea%20asarifolia?srsltid=AfmBOoqeE1BdqlQfUXXRVI-OQp2meAGvxPcg39dB6YEeTvSjGPCEwkAk (3) https://davesgarden.com/guides/pf/go/81858</t>
  </si>
  <si>
    <t>Propagules likely to disperse as a produce contaminant</t>
  </si>
  <si>
    <t>Propagules adapted to wind dispersal</t>
  </si>
  <si>
    <t>Propagules water dispersed</t>
  </si>
  <si>
    <t>No study that looked at floating potential found. However, suspected to be a possible cause of observed populations in seasonally-flooded areas (1)</t>
  </si>
  <si>
    <t>Propagules bird dispersed</t>
  </si>
  <si>
    <t>Noted as unlikely (1)</t>
  </si>
  <si>
    <t>Propagules dispersed by other animals (externally)</t>
  </si>
  <si>
    <t>Possible that seeds can be stuck in animal feet. However, not enough supporting evidence found</t>
  </si>
  <si>
    <t>Propagules dispersed by other animals (internally)</t>
  </si>
  <si>
    <t>Prolific seed production</t>
  </si>
  <si>
    <t>Noted to produce 3-4 seeds per pod. (1) Unlikely to be considered a prolific seed producer.</t>
  </si>
  <si>
    <t>Evidence that a persistent propagule bank is formed (&gt;1 yr)</t>
  </si>
  <si>
    <t>While somewhat uncommon, taxon can form persistent propagule banks beyond a year, especially at greater burial depths (1)</t>
  </si>
  <si>
    <t xml:space="preserve">(1) Dias-Filho, Moacyr B. (1999). Potential for seed bank formation of two weed species from Brazilian Amazonia. Planta Daninha, 17(2). </t>
  </si>
  <si>
    <t>Well controlled by herbicides</t>
  </si>
  <si>
    <t>Herbicide in high doses noted to be effective (1). "Orizo plus" herbicide noted to be effective (2)</t>
  </si>
  <si>
    <t>(1) Ismaila U., Wada A. C., and Gbanguba U.A. (2014) Effect of pre-emergence application of Glyphosate on growth parameters and stubborn weeds of sugarcae at Badeggi, Nigeria. International Journal of AgriScience. 4(5): 267-271. - https://www.cabidigitallibrary.org/doi/pdf/10.5555/20143217349 (2) Ismaila U., Kolo M. G. M., and Gbanguba U.a. (2011). Efficacy and profitability of some weed control practices in upland rice (Oryza sativa L.) at Badeggi, Nigeria. American Journal of Experimental Agriculture. 1(4): 174-186. - https://www.cabidigitallibrary.org/doi/pdf/10.5555/20123042913</t>
  </si>
  <si>
    <t>Tolerates, or benefits from, mutilation or cultivation</t>
  </si>
  <si>
    <t>Likely given its ability to propgate vegetatively easily (1) (2) (3)</t>
  </si>
  <si>
    <t>Effective natural enemies present in U.S.</t>
  </si>
  <si>
    <t>Total Score</t>
  </si>
  <si>
    <t>Outcome</t>
  </si>
  <si>
    <t>Section</t>
  </si>
  <si>
    <t># of questions answered</t>
  </si>
  <si>
    <t>satisfy minimum?</t>
  </si>
  <si>
    <t>A</t>
  </si>
  <si>
    <t>B</t>
  </si>
  <si>
    <t>C</t>
  </si>
  <si>
    <t>total</t>
  </si>
  <si>
    <t>Do not complete unless the Outcome (cell D54) is "Evaluate Further"</t>
  </si>
  <si>
    <t xml:space="preserve">Secondary Screening </t>
  </si>
  <si>
    <t xml:space="preserve"> Taxon shade-tolerant or forms dense stands?</t>
  </si>
  <si>
    <t xml:space="preserve"> Taxon is clearly bird- or wind-dispersed?</t>
  </si>
  <si>
    <t xml:space="preserve"> Taxon's life cycle &lt;4 years?</t>
  </si>
  <si>
    <t xml:space="preserve"> Weed of cultivated land?</t>
  </si>
  <si>
    <t xml:space="preserve"> Unpalatable to grazing animals?</t>
  </si>
  <si>
    <t xml:space="preserve"> Forms dense stands/populations?</t>
  </si>
  <si>
    <t xml:space="preserve"> Taxon a tree or tree-like shrub?</t>
  </si>
  <si>
    <t xml:space="preserve"> Taxon herbaceous or a low-growing shrub?</t>
  </si>
  <si>
    <t xml:space="preserve"> Taxon a vine or liana?</t>
  </si>
  <si>
    <t>Secondary Screening result:</t>
  </si>
  <si>
    <t>Scorecard</t>
  </si>
  <si>
    <t>Lookup Table A1:</t>
  </si>
  <si>
    <t>N Score</t>
  </si>
  <si>
    <t>Y Score</t>
  </si>
  <si>
    <t>Locate value of inputs and lookup output for each question</t>
  </si>
  <si>
    <r>
      <rPr>
        <b/>
        <sz val="11"/>
        <color theme="1"/>
        <rFont val="Calibri"/>
        <family val="2"/>
        <scheme val="minor"/>
      </rPr>
      <t>A</t>
    </r>
    <r>
      <rPr>
        <sz val="11"/>
        <color theme="1"/>
        <rFont val="Calibri"/>
        <family val="2"/>
        <scheme val="minor"/>
      </rPr>
      <t xml:space="preserve"> C</t>
    </r>
  </si>
  <si>
    <r>
      <t xml:space="preserve">                                         </t>
    </r>
    <r>
      <rPr>
        <b/>
        <i/>
        <sz val="11"/>
        <color theme="1"/>
        <rFont val="Calibri"/>
        <family val="2"/>
        <scheme val="minor"/>
      </rPr>
      <t xml:space="preserve"> Yes</t>
    </r>
    <r>
      <rPr>
        <sz val="11"/>
        <color theme="1"/>
        <rFont val="Calibri"/>
        <family val="2"/>
        <scheme val="minor"/>
      </rPr>
      <t xml:space="preserve"> to questions 3.01-3.05</t>
    </r>
  </si>
  <si>
    <t>default</t>
  </si>
  <si>
    <t>Inputs</t>
  </si>
  <si>
    <t>The response to qestions 2.01 and 2.02 is 2 unless a climate analysis is done</t>
  </si>
  <si>
    <t>Results</t>
  </si>
  <si>
    <t>Refer to lookup Table A1</t>
  </si>
  <si>
    <r>
      <t xml:space="preserve">       </t>
    </r>
    <r>
      <rPr>
        <b/>
        <i/>
        <sz val="11"/>
        <color theme="1"/>
        <rFont val="Calibri"/>
        <family val="2"/>
        <scheme val="minor"/>
      </rPr>
      <t xml:space="preserve">  No</t>
    </r>
    <r>
      <rPr>
        <sz val="11"/>
        <color theme="1"/>
        <rFont val="Calibri"/>
        <family val="2"/>
        <scheme val="minor"/>
      </rPr>
      <t xml:space="preserve"> to questions 3.01-3.02</t>
    </r>
  </si>
  <si>
    <t>E</t>
  </si>
  <si>
    <t xml:space="preserve">Input </t>
  </si>
  <si>
    <t>N</t>
  </si>
  <si>
    <t>Y</t>
  </si>
  <si>
    <t>3.02-3.05</t>
  </si>
  <si>
    <r>
      <rPr>
        <b/>
        <sz val="11"/>
        <color theme="1"/>
        <rFont val="Calibri"/>
        <family val="2"/>
        <scheme val="minor"/>
      </rPr>
      <t>B</t>
    </r>
    <r>
      <rPr>
        <sz val="11"/>
        <color theme="1"/>
        <rFont val="Calibri"/>
        <family val="2"/>
        <scheme val="minor"/>
      </rPr>
      <t xml:space="preserve"> C</t>
    </r>
  </si>
  <si>
    <t>Lookup Table for 6.07</t>
  </si>
  <si>
    <t>Years</t>
  </si>
  <si>
    <t>Lookup for Secondary Screening (Vine/Liana Only)</t>
  </si>
  <si>
    <t>Test 1:</t>
  </si>
  <si>
    <t>Test 2:</t>
  </si>
  <si>
    <r>
      <rPr>
        <b/>
        <sz val="11"/>
        <color theme="1"/>
        <rFont val="Calibri"/>
        <family val="2"/>
        <scheme val="minor"/>
      </rPr>
      <t>C</t>
    </r>
    <r>
      <rPr>
        <sz val="11"/>
        <color theme="1"/>
        <rFont val="Calibri"/>
        <family val="2"/>
        <scheme val="minor"/>
      </rPr>
      <t xml:space="preserve"> E</t>
    </r>
  </si>
  <si>
    <t>Refer to lookup Table A3</t>
  </si>
  <si>
    <t>ZONES</t>
  </si>
  <si>
    <r>
      <t xml:space="preserve">Genus species </t>
    </r>
    <r>
      <rPr>
        <b/>
        <sz val="14"/>
        <rFont val="Calibri"/>
        <family val="2"/>
        <scheme val="minor"/>
      </rPr>
      <t xml:space="preserve">(common name) </t>
    </r>
  </si>
  <si>
    <t>Species suited to Florida's USDA climate zones (0-low; 1-intermediate; 2-high)
       North Zone: suited to Zones 8, 9
       Central Zone: suited to Zones 9, 10
       South Zone: suited to Zone 10</t>
  </si>
  <si>
    <t>Quality of climate match data (0-low; 1-intermediate; 2-high)</t>
  </si>
  <si>
    <t xml:space="preserve">Implemented Pacific Second Screening </t>
  </si>
  <si>
    <t>Risk Assessment Results</t>
  </si>
  <si>
    <t>section</t>
  </si>
  <si>
    <t># questions answered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</si>
</sst>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Calibri"/>
      <family val="2"/>
      <scheme val="minor"/>
    </font>
    <font>
      <b/>
      <sz val="11"/>
      <color theme="1"/>
      <name val="Calibri"/>
      <family val="2"/>
      <scheme val="minor"/>
    </font>
    <font>
      <b/>
      <sz val="11"/>
      <color theme="1" tint="0.499984740745262"/>
      <name val="Calibri"/>
      <family val="2"/>
      <scheme val="minor"/>
    </font>
    <font>
      <sz val="8"/>
      <color theme="1"/>
      <name val="Calibri"/>
      <family val="2"/>
      <scheme val="minor"/>
    </font>
    <font>
      <sz val="7"/>
      <color theme="1"/>
      <name val="Calibri"/>
      <family val="2"/>
      <scheme val="minor"/>
    </font>
    <font>
      <b/>
      <i/>
      <sz val="11"/>
      <color theme="1"/>
      <name val="Calibri"/>
      <family val="2"/>
      <scheme val="minor"/>
    </font>
    <font>
      <b/>
      <sz val="11"/>
      <name val="Calibri"/>
      <family val="2"/>
      <scheme val="minor"/>
    </font>
    <font>
      <sz val="11"/>
      <color rgb="FFFF0000"/>
      <name val="Calibri"/>
      <family val="2"/>
      <scheme val="minor"/>
    </font>
    <font>
      <sz val="12"/>
      <name val="Calibri"/>
      <family val="2"/>
      <scheme val="minor"/>
    </font>
    <font>
      <b/>
      <i/>
      <sz val="14"/>
      <name val="Calibri"/>
      <family val="2"/>
      <scheme val="minor"/>
    </font>
    <font>
      <sz val="11"/>
      <color indexed="8"/>
      <name val="Calibri"/>
      <family val="2"/>
      <scheme val="minor"/>
    </font>
    <font>
      <sz val="9"/>
      <color indexed="8"/>
      <name val="Helvetica"/>
      <family val="2"/>
    </font>
    <font>
      <sz val="11"/>
      <name val="Calibri"/>
      <family val="2"/>
      <scheme val="minor"/>
    </font>
    <font>
      <b/>
      <sz val="11"/>
      <color indexed="8"/>
      <name val="Calibri"/>
      <family val="2"/>
      <scheme val="minor"/>
    </font>
    <font>
      <b/>
      <sz val="9"/>
      <color indexed="8"/>
      <name val="Helvetica"/>
      <family val="2"/>
    </font>
    <font>
      <b/>
      <sz val="9"/>
      <name val="Arial"/>
      <family val="2"/>
    </font>
    <font>
      <b/>
      <sz val="10"/>
      <name val="Calibri"/>
      <family val="2"/>
      <scheme val="minor"/>
    </font>
    <font>
      <sz val="9"/>
      <name val="Arial"/>
      <family val="2"/>
    </font>
    <font>
      <sz val="10"/>
      <name val="Calibri"/>
      <family val="2"/>
      <scheme val="minor"/>
    </font>
    <font>
      <b/>
      <sz val="14"/>
      <name val="Calibri"/>
      <family val="2"/>
      <scheme val="minor"/>
    </font>
    <font>
      <sz val="10"/>
      <name val="Arial"/>
      <family val="2"/>
    </font>
    <font>
      <sz val="11"/>
      <name val="Calibri"/>
      <family val="2"/>
    </font>
    <font>
      <sz val="11"/>
      <name val="Arial"/>
      <family val="2"/>
    </font>
    <font>
      <sz val="10"/>
      <name val="Calibri"/>
      <family val="2"/>
    </font>
    <font>
      <b/>
      <sz val="12"/>
      <color theme="4"/>
      <name val="Arial"/>
      <family val="2"/>
    </font>
    <font>
      <sz val="10"/>
      <color theme="1"/>
      <name val="Calibri"/>
      <family val="2"/>
    </font>
    <font>
      <b/>
      <sz val="11"/>
      <color rgb="FFFF0000"/>
      <name val="Calibri"/>
      <family val="2"/>
      <scheme val="minor"/>
    </font>
    <font>
      <sz val="11"/>
      <color rgb="FF000000"/>
      <name val="Calibri"/>
    </font>
    <font>
      <sz val="11"/>
      <color rgb="FFFF0000"/>
      <name val="Calibri"/>
    </font>
    <font>
      <sz val="11"/>
      <color theme="1"/>
      <name val="Calibri"/>
    </font>
    <font>
      <sz val="11"/>
      <color rgb="FF242424"/>
      <name val="Aptos Narrow"/>
      <charset val="1"/>
    </font>
  </fonts>
  <fills count="7">
    <fill>
      <patternFill patternType="none"/>
    </fill>
    <fill>
      <patternFill patternType="gray125"/>
    </fill>
    <fill>
      <patternFill patternType="solid">
        <fgColor theme="0" tint="-0.249977111117893"/>
        <bgColor indexed="64"/>
      </patternFill>
    </fill>
    <fill>
      <patternFill patternType="solid">
        <fgColor them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indexed="64"/>
      </patternFill>
    </fill>
  </fills>
  <borders count="38">
    <border>
      <left/>
      <right/>
      <top/>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bottom/>
      <diagonal/>
    </border>
    <border>
      <left/>
      <right style="double">
        <color indexed="64"/>
      </right>
      <top/>
      <bottom/>
      <diagonal/>
    </border>
    <border>
      <left style="thin">
        <color theme="2"/>
      </left>
      <right style="thin">
        <color theme="2"/>
      </right>
      <top style="thin">
        <color theme="2"/>
      </top>
      <bottom style="thin">
        <color theme="2"/>
      </bottom>
      <diagonal/>
    </border>
    <border>
      <left/>
      <right style="thin">
        <color theme="2"/>
      </right>
      <top style="thin">
        <color theme="2"/>
      </top>
      <bottom style="thin">
        <color theme="2"/>
      </bottom>
      <diagonal/>
    </border>
    <border>
      <left style="thin">
        <color theme="2"/>
      </left>
      <right/>
      <top/>
      <bottom style="double">
        <color theme="2"/>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auto="1"/>
      </top>
      <bottom/>
      <diagonal/>
    </border>
    <border>
      <left style="medium">
        <color indexed="64"/>
      </left>
      <right/>
      <top style="medium">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indexed="64"/>
      </top>
      <bottom/>
      <diagonal/>
    </border>
  </borders>
  <cellStyleXfs count="1">
    <xf numFmtId="0" fontId="0" fillId="0" borderId="0" applyProtection="0"/>
  </cellStyleXfs>
  <cellXfs count="156">
    <xf numFmtId="0" fontId="0" fillId="0" borderId="0" xfId="0"/>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9" xfId="0" applyBorder="1"/>
    <xf numFmtId="0" fontId="0" fillId="0" borderId="20" xfId="0" applyBorder="1"/>
    <xf numFmtId="0" fontId="0" fillId="0" borderId="21" xfId="0" applyBorder="1"/>
    <xf numFmtId="0" fontId="0" fillId="0" borderId="15" xfId="0" applyBorder="1" applyAlignment="1">
      <alignment horizontal="center"/>
    </xf>
    <xf numFmtId="0" fontId="0" fillId="0" borderId="0" xfId="0" applyAlignment="1">
      <alignment horizontal="center" vertical="center"/>
    </xf>
    <xf numFmtId="0" fontId="0" fillId="0" borderId="15" xfId="0" applyBorder="1" applyAlignment="1">
      <alignment horizontal="center" vertical="center"/>
    </xf>
    <xf numFmtId="0" fontId="0" fillId="0" borderId="0" xfId="0" applyAlignment="1">
      <alignment horizontal="center"/>
    </xf>
    <xf numFmtId="0" fontId="0" fillId="0" borderId="20" xfId="0" applyBorder="1" applyAlignment="1">
      <alignment horizontal="center" vertical="center"/>
    </xf>
    <xf numFmtId="0" fontId="0" fillId="0" borderId="20" xfId="0" applyBorder="1" applyAlignment="1">
      <alignment horizontal="center"/>
    </xf>
    <xf numFmtId="0" fontId="0" fillId="0" borderId="21" xfId="0" applyBorder="1" applyAlignment="1">
      <alignment horizontal="center"/>
    </xf>
    <xf numFmtId="0" fontId="1" fillId="0" borderId="15" xfId="0" applyFont="1" applyBorder="1" applyAlignment="1">
      <alignment horizontal="center"/>
    </xf>
    <xf numFmtId="0" fontId="1" fillId="0" borderId="0" xfId="0" applyFont="1" applyAlignment="1" applyProtection="1">
      <alignment horizontal="center" vertical="top"/>
      <protection locked="0"/>
    </xf>
    <xf numFmtId="0" fontId="1" fillId="0" borderId="0" xfId="0" applyFont="1" applyAlignment="1" applyProtection="1">
      <alignment horizontal="center" vertical="top" wrapText="1"/>
    </xf>
    <xf numFmtId="0" fontId="1" fillId="0" borderId="4" xfId="0" applyFont="1" applyBorder="1" applyAlignment="1" applyProtection="1">
      <alignment wrapText="1"/>
    </xf>
    <xf numFmtId="0" fontId="0" fillId="0" borderId="23" xfId="0" applyBorder="1" applyAlignment="1" applyProtection="1">
      <alignment horizontal="center" vertical="center" wrapText="1"/>
    </xf>
    <xf numFmtId="0" fontId="0" fillId="0" borderId="6" xfId="0" applyBorder="1" applyAlignment="1" applyProtection="1">
      <alignment horizontal="center" vertical="center" wrapText="1"/>
    </xf>
    <xf numFmtId="0" fontId="1" fillId="0" borderId="2" xfId="0" applyFont="1" applyBorder="1" applyAlignment="1" applyProtection="1">
      <alignment wrapText="1"/>
    </xf>
    <xf numFmtId="0" fontId="1" fillId="0" borderId="3" xfId="0" applyFont="1" applyBorder="1" applyAlignment="1" applyProtection="1">
      <alignment wrapText="1"/>
    </xf>
    <xf numFmtId="0" fontId="0" fillId="0" borderId="0" xfId="0" applyAlignment="1" applyProtection="1">
      <alignment horizontal="center" vertical="center" wrapText="1"/>
    </xf>
    <xf numFmtId="0" fontId="1" fillId="0" borderId="5" xfId="0" applyFont="1" applyBorder="1" applyAlignment="1" applyProtection="1">
      <alignment wrapText="1"/>
    </xf>
    <xf numFmtId="0" fontId="0" fillId="0" borderId="1" xfId="0" applyBorder="1" applyAlignment="1" applyProtection="1">
      <alignment horizontal="center" vertical="center" wrapText="1"/>
    </xf>
    <xf numFmtId="0" fontId="1" fillId="0" borderId="0" xfId="0" applyFont="1" applyAlignment="1" applyProtection="1">
      <alignment wrapText="1"/>
    </xf>
    <xf numFmtId="0" fontId="1" fillId="0" borderId="22" xfId="0" applyFont="1" applyBorder="1" applyAlignment="1" applyProtection="1">
      <alignment wrapText="1"/>
    </xf>
    <xf numFmtId="0" fontId="6" fillId="0" borderId="22" xfId="0" applyFont="1" applyBorder="1" applyAlignment="1" applyProtection="1">
      <alignment wrapText="1"/>
    </xf>
    <xf numFmtId="2" fontId="10" fillId="0" borderId="29" xfId="0" applyNumberFormat="1" applyFont="1" applyBorder="1" applyAlignment="1">
      <alignment horizontal="left" vertical="top" wrapText="1"/>
    </xf>
    <xf numFmtId="2" fontId="11" fillId="5" borderId="29" xfId="0" applyNumberFormat="1" applyFont="1" applyFill="1" applyBorder="1" applyAlignment="1">
      <alignment horizontal="left" vertical="top" wrapText="1"/>
    </xf>
    <xf numFmtId="0" fontId="13" fillId="5" borderId="29" xfId="0" applyFont="1" applyFill="1" applyBorder="1" applyAlignment="1">
      <alignment vertical="top" wrapText="1"/>
    </xf>
    <xf numFmtId="0" fontId="12" fillId="5" borderId="29" xfId="0" applyFont="1" applyFill="1" applyBorder="1" applyAlignment="1">
      <alignment horizontal="left" vertical="top" wrapText="1"/>
    </xf>
    <xf numFmtId="0" fontId="6" fillId="5" borderId="29" xfId="0" applyFont="1" applyFill="1" applyBorder="1" applyAlignment="1">
      <alignment vertical="top" wrapText="1"/>
    </xf>
    <xf numFmtId="2" fontId="10" fillId="0" borderId="0" xfId="0" applyNumberFormat="1" applyFont="1" applyAlignment="1">
      <alignment horizontal="right" vertical="top" wrapText="1"/>
    </xf>
    <xf numFmtId="0" fontId="10" fillId="0" borderId="0" xfId="0" applyFont="1" applyAlignment="1">
      <alignment vertical="top" wrapText="1"/>
    </xf>
    <xf numFmtId="0" fontId="12" fillId="0" borderId="0" xfId="0" applyFont="1"/>
    <xf numFmtId="0" fontId="14" fillId="0" borderId="2" xfId="0" applyFont="1" applyBorder="1" applyAlignment="1">
      <alignment vertical="top" wrapText="1"/>
    </xf>
    <xf numFmtId="0" fontId="15" fillId="0" borderId="3" xfId="0" applyFont="1" applyBorder="1" applyAlignment="1">
      <alignment wrapText="1"/>
    </xf>
    <xf numFmtId="0" fontId="16" fillId="0" borderId="4" xfId="0" applyFont="1" applyBorder="1" applyAlignment="1">
      <alignment wrapText="1"/>
    </xf>
    <xf numFmtId="0" fontId="17" fillId="0" borderId="22" xfId="0" applyFont="1" applyBorder="1"/>
    <xf numFmtId="0" fontId="17" fillId="0" borderId="0" xfId="0" applyFont="1"/>
    <xf numFmtId="0" fontId="18" fillId="0" borderId="23" xfId="0" applyFont="1" applyBorder="1"/>
    <xf numFmtId="0" fontId="17" fillId="0" borderId="5" xfId="0" applyFont="1" applyBorder="1"/>
    <xf numFmtId="0" fontId="17" fillId="0" borderId="1" xfId="0" applyFont="1" applyBorder="1"/>
    <xf numFmtId="0" fontId="18" fillId="0" borderId="6" xfId="0" applyFont="1" applyBorder="1"/>
    <xf numFmtId="0" fontId="6" fillId="4" borderId="29" xfId="0" applyFont="1" applyFill="1" applyBorder="1" applyAlignment="1">
      <alignment horizontal="center" wrapText="1"/>
    </xf>
    <xf numFmtId="0" fontId="6" fillId="4" borderId="29" xfId="0" applyFont="1" applyFill="1" applyBorder="1" applyAlignment="1">
      <alignment horizontal="center" vertical="top"/>
    </xf>
    <xf numFmtId="0" fontId="6" fillId="4" borderId="29" xfId="0" applyFont="1" applyFill="1" applyBorder="1" applyAlignment="1">
      <alignment horizontal="center" vertical="top" wrapText="1"/>
    </xf>
    <xf numFmtId="0" fontId="20" fillId="0" borderId="29" xfId="0" applyFont="1" applyBorder="1" applyAlignment="1">
      <alignment vertical="center" wrapText="1"/>
    </xf>
    <xf numFmtId="0" fontId="0" fillId="0" borderId="29" xfId="0" applyBorder="1" applyAlignment="1">
      <alignment vertical="center" wrapText="1"/>
    </xf>
    <xf numFmtId="0" fontId="21" fillId="0" borderId="29" xfId="0" applyFont="1" applyBorder="1" applyAlignment="1">
      <alignment vertical="center" wrapText="1"/>
    </xf>
    <xf numFmtId="0" fontId="12" fillId="0" borderId="29" xfId="0" applyFont="1" applyBorder="1" applyAlignment="1">
      <alignment vertical="center" wrapText="1"/>
    </xf>
    <xf numFmtId="0" fontId="22" fillId="0" borderId="29" xfId="0" applyFont="1" applyBorder="1" applyAlignment="1">
      <alignment vertical="center" wrapText="1"/>
    </xf>
    <xf numFmtId="0" fontId="23" fillId="0" borderId="29" xfId="0" applyFont="1" applyBorder="1" applyAlignment="1">
      <alignment vertical="center" wrapText="1"/>
    </xf>
    <xf numFmtId="0" fontId="0" fillId="0" borderId="0" xfId="0" applyAlignment="1" applyProtection="1">
      <alignment wrapText="1"/>
      <protection locked="0"/>
    </xf>
    <xf numFmtId="0" fontId="0" fillId="3" borderId="24" xfId="0" applyFill="1" applyBorder="1" applyAlignment="1" applyProtection="1">
      <alignment wrapText="1"/>
      <protection locked="0"/>
    </xf>
    <xf numFmtId="0" fontId="0" fillId="0" borderId="0" xfId="0" applyProtection="1">
      <protection locked="0"/>
    </xf>
    <xf numFmtId="0" fontId="0" fillId="0" borderId="0" xfId="0" applyAlignment="1" applyProtection="1">
      <alignment wrapText="1"/>
    </xf>
    <xf numFmtId="0" fontId="0" fillId="3" borderId="0" xfId="0" applyFill="1" applyAlignment="1" applyProtection="1">
      <alignment wrapText="1"/>
    </xf>
    <xf numFmtId="0" fontId="0" fillId="0" borderId="4" xfId="0" applyBorder="1" applyAlignment="1" applyProtection="1">
      <alignment horizontal="center" vertical="center" wrapText="1"/>
    </xf>
    <xf numFmtId="0" fontId="0" fillId="3" borderId="25" xfId="0" applyFill="1" applyBorder="1" applyAlignment="1" applyProtection="1">
      <alignment wrapText="1"/>
      <protection locked="0"/>
    </xf>
    <xf numFmtId="0" fontId="0" fillId="0" borderId="26" xfId="0" applyBorder="1" applyAlignment="1" applyProtection="1">
      <alignment wrapText="1"/>
      <protection locked="0"/>
    </xf>
    <xf numFmtId="0" fontId="0" fillId="0" borderId="0" xfId="0" applyAlignment="1" applyProtection="1">
      <alignment horizontal="left" vertical="top" wrapText="1"/>
      <protection locked="0"/>
    </xf>
    <xf numFmtId="0" fontId="0" fillId="3" borderId="24" xfId="0" applyFill="1" applyBorder="1" applyProtection="1">
      <protection locked="0"/>
    </xf>
    <xf numFmtId="2" fontId="10" fillId="0" borderId="0" xfId="0" applyNumberFormat="1" applyFont="1" applyAlignment="1" applyProtection="1">
      <alignment horizontal="right" vertical="top" wrapText="1"/>
    </xf>
    <xf numFmtId="0" fontId="10" fillId="0" borderId="0" xfId="0" applyFont="1" applyAlignment="1" applyProtection="1">
      <alignment vertical="top" wrapText="1"/>
    </xf>
    <xf numFmtId="0" fontId="12" fillId="0" borderId="0" xfId="0" applyFont="1" applyAlignment="1" applyProtection="1">
      <alignment vertical="top" wrapText="1"/>
    </xf>
    <xf numFmtId="0" fontId="1" fillId="0" borderId="2" xfId="0" applyFont="1" applyBorder="1" applyAlignment="1" applyProtection="1">
      <alignment horizontal="left" vertical="center" wrapText="1"/>
    </xf>
    <xf numFmtId="0" fontId="1" fillId="0" borderId="5" xfId="0" applyFont="1" applyBorder="1" applyAlignment="1" applyProtection="1">
      <alignment horizontal="left" vertical="center" wrapText="1"/>
    </xf>
    <xf numFmtId="0" fontId="0" fillId="0" borderId="14" xfId="0" applyBorder="1" applyProtection="1"/>
    <xf numFmtId="0" fontId="1" fillId="3" borderId="30" xfId="0" applyFont="1" applyFill="1" applyBorder="1" applyAlignment="1" applyProtection="1">
      <alignment horizontal="right"/>
    </xf>
    <xf numFmtId="0" fontId="6" fillId="4" borderId="29" xfId="0" applyFont="1" applyFill="1" applyBorder="1" applyAlignment="1" applyProtection="1">
      <alignment horizontal="center" vertical="center" wrapText="1"/>
    </xf>
    <xf numFmtId="2" fontId="10" fillId="0" borderId="29" xfId="0" applyNumberFormat="1" applyFont="1" applyBorder="1" applyAlignment="1" applyProtection="1">
      <alignment horizontal="left" vertical="top" wrapText="1"/>
    </xf>
    <xf numFmtId="0" fontId="10" fillId="0" borderId="10" xfId="0" applyFont="1" applyBorder="1" applyAlignment="1" applyProtection="1">
      <alignment vertical="top" wrapText="1"/>
    </xf>
    <xf numFmtId="0" fontId="11" fillId="0" borderId="29" xfId="0" applyFont="1" applyBorder="1" applyAlignment="1" applyProtection="1">
      <alignment horizontal="center" vertical="top" wrapText="1"/>
    </xf>
    <xf numFmtId="0" fontId="11" fillId="0" borderId="0" xfId="0" applyFont="1" applyAlignment="1" applyProtection="1">
      <alignment vertical="center" wrapText="1"/>
    </xf>
    <xf numFmtId="0" fontId="11" fillId="0" borderId="0" xfId="0" applyFont="1" applyAlignment="1" applyProtection="1">
      <alignment vertical="top" wrapText="1"/>
    </xf>
    <xf numFmtId="0" fontId="0" fillId="0" borderId="29" xfId="0" applyBorder="1" applyAlignment="1" applyProtection="1">
      <alignment horizontal="center" vertical="top" wrapText="1"/>
    </xf>
    <xf numFmtId="0" fontId="12" fillId="0" borderId="10" xfId="0" applyFont="1" applyBorder="1" applyAlignment="1" applyProtection="1">
      <alignment vertical="top" wrapText="1"/>
    </xf>
    <xf numFmtId="16" fontId="11" fillId="0" borderId="29" xfId="0" applyNumberFormat="1" applyFont="1" applyBorder="1" applyAlignment="1" applyProtection="1">
      <alignment horizontal="center" vertical="top" wrapText="1"/>
    </xf>
    <xf numFmtId="0" fontId="0" fillId="0" borderId="29" xfId="0" applyBorder="1" applyAlignment="1" applyProtection="1">
      <alignment horizontal="center"/>
    </xf>
    <xf numFmtId="0" fontId="0" fillId="3" borderId="29" xfId="0" applyFill="1" applyBorder="1" applyAlignment="1" applyProtection="1">
      <alignment horizontal="center"/>
    </xf>
    <xf numFmtId="16" fontId="0" fillId="0" borderId="0" xfId="0" applyNumberFormat="1" applyAlignment="1" applyProtection="1">
      <alignment wrapText="1"/>
      <protection locked="0"/>
    </xf>
    <xf numFmtId="0" fontId="7" fillId="0" borderId="0" xfId="0" applyFont="1" applyAlignment="1" applyProtection="1">
      <alignment wrapText="1"/>
      <protection locked="0"/>
    </xf>
    <xf numFmtId="0" fontId="10" fillId="0" borderId="0" xfId="0" applyFont="1" applyAlignment="1" applyProtection="1">
      <alignment vertical="top" wrapText="1"/>
      <protection locked="0"/>
    </xf>
    <xf numFmtId="2" fontId="10" fillId="0" borderId="0" xfId="0" applyNumberFormat="1" applyFont="1" applyAlignment="1" applyProtection="1">
      <alignment horizontal="right" vertical="top" wrapText="1"/>
      <protection locked="0"/>
    </xf>
    <xf numFmtId="0" fontId="2" fillId="3" borderId="24" xfId="0" applyFont="1" applyFill="1" applyBorder="1" applyAlignment="1" applyProtection="1">
      <alignment horizontal="center" vertical="top" wrapText="1"/>
    </xf>
    <xf numFmtId="0" fontId="0" fillId="0" borderId="15" xfId="0" applyBorder="1" applyAlignment="1" applyProtection="1">
      <alignment horizontal="center"/>
    </xf>
    <xf numFmtId="0" fontId="0" fillId="0" borderId="21" xfId="0" applyBorder="1" applyAlignment="1" applyProtection="1">
      <alignment horizontal="center"/>
    </xf>
    <xf numFmtId="0" fontId="0" fillId="0" borderId="19" xfId="0" applyBorder="1" applyProtection="1"/>
    <xf numFmtId="0" fontId="0" fillId="0" borderId="0" xfId="0" applyAlignment="1" applyProtection="1">
      <alignment horizontal="center"/>
      <protection locked="0"/>
    </xf>
    <xf numFmtId="0" fontId="0" fillId="0" borderId="20" xfId="0" applyBorder="1" applyAlignment="1" applyProtection="1">
      <alignment horizontal="center"/>
      <protection locked="0"/>
    </xf>
    <xf numFmtId="0" fontId="0" fillId="0" borderId="0" xfId="0" applyAlignment="1" applyProtection="1">
      <alignment horizontal="center" vertical="center"/>
      <protection locked="0"/>
    </xf>
    <xf numFmtId="0" fontId="0" fillId="0" borderId="37" xfId="0" applyBorder="1" applyAlignment="1">
      <alignment horizontal="center"/>
    </xf>
    <xf numFmtId="0" fontId="0" fillId="0" borderId="19" xfId="0" applyBorder="1" applyAlignment="1">
      <alignment horizontal="center"/>
    </xf>
    <xf numFmtId="0" fontId="0" fillId="0" borderId="15" xfId="0" applyBorder="1" applyAlignment="1" applyProtection="1">
      <alignment horizontal="center" vertical="center"/>
    </xf>
    <xf numFmtId="0" fontId="24" fillId="5" borderId="28" xfId="0" applyFont="1" applyFill="1" applyBorder="1" applyAlignment="1" applyProtection="1">
      <alignment horizontal="left" vertical="center"/>
      <protection locked="0"/>
    </xf>
    <xf numFmtId="0" fontId="20" fillId="0" borderId="0" xfId="0" applyFont="1" applyAlignment="1" applyProtection="1">
      <alignment wrapText="1"/>
      <protection locked="0"/>
    </xf>
    <xf numFmtId="0" fontId="25" fillId="6" borderId="0" xfId="0" applyFont="1" applyFill="1" applyProtection="1">
      <protection locked="0"/>
    </xf>
    <xf numFmtId="0" fontId="25" fillId="6" borderId="0" xfId="0" applyFont="1" applyFill="1" applyAlignment="1" applyProtection="1">
      <alignment wrapText="1"/>
      <protection locked="0"/>
    </xf>
    <xf numFmtId="0" fontId="26" fillId="0" borderId="0" xfId="0" applyFont="1" applyAlignment="1" applyProtection="1">
      <alignment horizontal="center" vertical="top" wrapText="1"/>
      <protection locked="0"/>
    </xf>
    <xf numFmtId="0" fontId="29" fillId="0" borderId="0" xfId="0" applyFont="1" applyAlignment="1" applyProtection="1">
      <alignment wrapText="1"/>
      <protection locked="0"/>
    </xf>
    <xf numFmtId="0" fontId="30" fillId="0" borderId="0" xfId="0" applyFont="1" applyProtection="1">
      <protection locked="0"/>
    </xf>
    <xf numFmtId="0" fontId="0" fillId="3" borderId="32" xfId="0" applyFill="1" applyBorder="1" applyAlignment="1" applyProtection="1">
      <alignment horizontal="center"/>
    </xf>
    <xf numFmtId="0" fontId="0" fillId="3" borderId="31" xfId="0" applyFill="1" applyBorder="1" applyAlignment="1" applyProtection="1">
      <alignment horizontal="center"/>
    </xf>
    <xf numFmtId="0" fontId="0" fillId="0" borderId="0" xfId="0" applyAlignment="1" applyProtection="1">
      <alignment horizontal="center"/>
      <protection locked="0"/>
    </xf>
    <xf numFmtId="0" fontId="0" fillId="0" borderId="15" xfId="0" applyBorder="1" applyAlignment="1" applyProtection="1">
      <alignment horizontal="center"/>
      <protection locked="0"/>
    </xf>
    <xf numFmtId="0" fontId="1" fillId="0" borderId="20" xfId="0" applyFont="1" applyBorder="1" applyAlignment="1" applyProtection="1">
      <alignment horizontal="center" wrapText="1"/>
      <protection locked="0"/>
    </xf>
    <xf numFmtId="0" fontId="1" fillId="2" borderId="30" xfId="0" applyFont="1" applyFill="1" applyBorder="1" applyAlignment="1" applyProtection="1">
      <alignment horizontal="center" wrapText="1"/>
    </xf>
    <xf numFmtId="0" fontId="1" fillId="2" borderId="32" xfId="0" applyFont="1" applyFill="1" applyBorder="1" applyAlignment="1" applyProtection="1">
      <alignment horizontal="center" wrapText="1"/>
    </xf>
    <xf numFmtId="0" fontId="1" fillId="2" borderId="31" xfId="0" applyFont="1" applyFill="1" applyBorder="1" applyAlignment="1" applyProtection="1">
      <alignment horizontal="center" wrapText="1"/>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wrapText="1"/>
      <protection locked="0"/>
    </xf>
    <xf numFmtId="0" fontId="0" fillId="0" borderId="15" xfId="0" applyBorder="1" applyAlignment="1" applyProtection="1">
      <alignment horizontal="center" wrapText="1"/>
      <protection locked="0"/>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0" xfId="0" applyAlignment="1">
      <alignment horizontal="center"/>
    </xf>
    <xf numFmtId="0" fontId="0" fillId="0" borderId="14" xfId="0" applyBorder="1" applyAlignment="1">
      <alignment vertical="top"/>
    </xf>
    <xf numFmtId="0" fontId="0" fillId="0" borderId="19" xfId="0" applyBorder="1" applyAlignment="1">
      <alignment vertical="top"/>
    </xf>
    <xf numFmtId="0" fontId="0" fillId="0" borderId="15"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4" fillId="2" borderId="7"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0" fillId="2" borderId="7"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9"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8" xfId="0" applyFill="1" applyBorder="1" applyAlignment="1">
      <alignment horizontal="center" vertical="center" wrapText="1"/>
    </xf>
    <xf numFmtId="0" fontId="0" fillId="2" borderId="17" xfId="0" applyFill="1" applyBorder="1" applyAlignment="1">
      <alignment horizontal="center" vertical="center" wrapText="1"/>
    </xf>
    <xf numFmtId="0" fontId="3" fillId="2" borderId="10" xfId="0" applyFont="1" applyFill="1" applyBorder="1" applyAlignment="1">
      <alignment horizontal="center"/>
    </xf>
    <xf numFmtId="0" fontId="3" fillId="2" borderId="18" xfId="0" applyFont="1" applyFill="1" applyBorder="1" applyAlignment="1">
      <alignment horizontal="center"/>
    </xf>
    <xf numFmtId="0" fontId="0" fillId="0" borderId="14" xfId="0" applyBorder="1" applyAlignment="1">
      <alignment horizontal="left" vertical="top"/>
    </xf>
    <xf numFmtId="0" fontId="0" fillId="0" borderId="0" xfId="0" applyAlignment="1">
      <alignment horizontal="left" vertical="top"/>
    </xf>
    <xf numFmtId="0" fontId="0" fillId="0" borderId="34" xfId="0"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9" fillId="4" borderId="10" xfId="0" applyFont="1" applyFill="1" applyBorder="1" applyAlignment="1" applyProtection="1">
      <alignment horizontal="center" vertical="center" wrapText="1"/>
    </xf>
    <xf numFmtId="0" fontId="9" fillId="4" borderId="28" xfId="0" applyFont="1" applyFill="1" applyBorder="1" applyAlignment="1" applyProtection="1">
      <alignment horizontal="center" vertical="center" wrapText="1"/>
    </xf>
    <xf numFmtId="0" fontId="6" fillId="5" borderId="29" xfId="0" applyFont="1" applyFill="1" applyBorder="1" applyAlignment="1">
      <alignment horizontal="center" vertical="top" wrapText="1"/>
    </xf>
    <xf numFmtId="0" fontId="8" fillId="0" borderId="10" xfId="0" applyFont="1" applyBorder="1" applyAlignment="1" applyProtection="1">
      <alignment horizontal="left"/>
    </xf>
    <xf numFmtId="0" fontId="8" fillId="0" borderId="27" xfId="0" applyFont="1" applyBorder="1" applyAlignment="1" applyProtection="1">
      <alignment horizontal="left"/>
    </xf>
    <xf numFmtId="0" fontId="0" fillId="0" borderId="14" xfId="0" applyBorder="1" applyAlignment="1"/>
    <xf numFmtId="0" fontId="0" fillId="0" borderId="0" xfId="0" applyAlignment="1"/>
    <xf numFmtId="0" fontId="0" fillId="0" borderId="15" xfId="0" applyBorder="1" applyAlignment="1"/>
    <xf numFmtId="0" fontId="0" fillId="0" borderId="33" xfId="0" applyBorder="1" applyAlignment="1"/>
    <xf numFmtId="0" fontId="0" fillId="0" borderId="16" xfId="0" applyBorder="1" applyAlignment="1"/>
    <xf numFmtId="0" fontId="0" fillId="0" borderId="20" xfId="0" applyBorder="1" applyAlignment="1"/>
    <xf numFmtId="0" fontId="0" fillId="0" borderId="21" xfId="0" applyBorder="1" applyAlignment="1"/>
  </cellXfs>
  <cellStyles count="1">
    <cellStyle name="Normal"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266700</xdr:colOff>
      <xdr:row>0</xdr:row>
      <xdr:rowOff>142876</xdr:rowOff>
    </xdr:from>
    <xdr:to>
      <xdr:col>2</xdr:col>
      <xdr:colOff>19050</xdr:colOff>
      <xdr:row>0</xdr:row>
      <xdr:rowOff>1130127</xdr:rowOff>
    </xdr:to>
    <xdr:pic>
      <xdr:nvPicPr>
        <xdr:cNvPr id="3" name="Picture 2" descr="Screen Shot 2015-03-11 at 10.50.32 AM.png">
          <a:extLst>
            <a:ext uri="{FF2B5EF4-FFF2-40B4-BE49-F238E27FC236}">
              <a16:creationId xmlns:a16="http://schemas.microsoft.com/office/drawing/2014/main" id="{625CA487-A7E6-4CD2-8D94-2F6184FF09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2950" y="142876"/>
          <a:ext cx="4048125" cy="98725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230ED-15D9-4079-BE3B-A424EDD1BAFC}">
  <dimension ref="A1:H107"/>
  <sheetViews>
    <sheetView tabSelected="1" zoomScale="125" zoomScaleNormal="125" workbookViewId="0">
      <pane xSplit="1" topLeftCell="B49" activePane="topRight" state="frozen"/>
      <selection pane="topRight" activeCell="F2" sqref="F2"/>
    </sheetView>
  </sheetViews>
  <sheetFormatPr defaultColWidth="9.140625" defaultRowHeight="15"/>
  <cols>
    <col min="1" max="1" width="9" style="58" customWidth="1"/>
    <col min="2" max="2" width="45.42578125" style="58" customWidth="1"/>
    <col min="3" max="3" width="12.42578125" style="58" customWidth="1"/>
    <col min="4" max="4" width="9.42578125" style="58" bestFit="1" customWidth="1"/>
    <col min="5" max="5" width="12.28515625" style="65" hidden="1" customWidth="1"/>
    <col min="6" max="6" width="61.42578125" style="58" customWidth="1"/>
    <col min="7" max="7" width="43.28515625" style="58" customWidth="1"/>
    <col min="8" max="8" width="27.140625" style="85" customWidth="1"/>
    <col min="9" max="16384" width="9.140625" style="58"/>
  </cols>
  <sheetData>
    <row r="1" spans="1:8" ht="30" customHeight="1">
      <c r="A1" s="27" t="s">
        <v>0</v>
      </c>
      <c r="B1" s="85" t="s">
        <v>1</v>
      </c>
      <c r="C1" s="56"/>
      <c r="D1" s="56"/>
      <c r="E1" s="57"/>
      <c r="F1" s="103" t="s">
        <v>2</v>
      </c>
      <c r="G1" s="56"/>
    </row>
    <row r="2" spans="1:8" s="17" customFormat="1" ht="30.75" customHeight="1">
      <c r="A2" s="18" t="s">
        <v>3</v>
      </c>
      <c r="B2" s="18" t="s">
        <v>4</v>
      </c>
      <c r="C2" s="18" t="s">
        <v>5</v>
      </c>
      <c r="D2" s="18" t="s">
        <v>6</v>
      </c>
      <c r="E2" s="88" t="s">
        <v>7</v>
      </c>
      <c r="F2" s="18" t="s">
        <v>8</v>
      </c>
      <c r="G2" s="18" t="s">
        <v>9</v>
      </c>
      <c r="H2" s="102"/>
    </row>
    <row r="3" spans="1:8">
      <c r="A3" s="66">
        <v>1.01</v>
      </c>
      <c r="B3" s="67" t="s">
        <v>10</v>
      </c>
      <c r="C3" s="56" t="s">
        <v>11</v>
      </c>
      <c r="D3" s="59">
        <f>IF(C3="Y",-3,IF(C3="N",0," "))</f>
        <v>0</v>
      </c>
      <c r="E3" s="57"/>
      <c r="F3" s="99" t="s">
        <v>12</v>
      </c>
      <c r="G3" s="64"/>
    </row>
    <row r="4" spans="1:8" ht="15.95">
      <c r="A4" s="66">
        <v>1.02</v>
      </c>
      <c r="B4" s="67" t="s">
        <v>13</v>
      </c>
      <c r="C4" s="56"/>
      <c r="D4" s="59" t="str">
        <f>IF(C4="n",VLOOKUP(LUT!C5,LUT!C4:E52,2),IF(C4="y",VLOOKUP(LUT!C5,LUT!C4:E52,3)," "))</f>
        <v xml:space="preserve"> </v>
      </c>
      <c r="E4" s="57"/>
      <c r="F4" s="64"/>
      <c r="G4" s="64"/>
    </row>
    <row r="5" spans="1:8" ht="15.95">
      <c r="A5" s="66">
        <v>1.03</v>
      </c>
      <c r="B5" s="67" t="s">
        <v>14</v>
      </c>
      <c r="C5" s="56"/>
      <c r="D5" s="59" t="str">
        <f>IF(C5="Y",1,IF(C5="N",-1," "))</f>
        <v xml:space="preserve"> </v>
      </c>
      <c r="E5" s="57"/>
      <c r="F5" s="64"/>
      <c r="G5" s="64"/>
    </row>
    <row r="6" spans="1:8" ht="76.5">
      <c r="A6" s="66">
        <v>2.0099999999999998</v>
      </c>
      <c r="B6" s="67" t="s">
        <v>15</v>
      </c>
      <c r="C6" s="56">
        <v>2</v>
      </c>
      <c r="D6" s="60"/>
      <c r="E6" s="57"/>
      <c r="F6" s="99" t="s">
        <v>16</v>
      </c>
      <c r="G6" s="64"/>
    </row>
    <row r="7" spans="1:8" ht="30.75">
      <c r="A7" s="66">
        <v>2.02</v>
      </c>
      <c r="B7" s="67" t="s">
        <v>17</v>
      </c>
      <c r="C7" s="56">
        <v>2</v>
      </c>
      <c r="D7" s="60"/>
      <c r="E7" s="57"/>
      <c r="F7" s="99" t="s">
        <v>16</v>
      </c>
      <c r="G7" s="64"/>
    </row>
    <row r="8" spans="1:8">
      <c r="A8" s="66">
        <v>2.0299999999999998</v>
      </c>
      <c r="B8" s="67" t="s">
        <v>18</v>
      </c>
      <c r="C8" s="56" t="s">
        <v>11</v>
      </c>
      <c r="D8" s="59">
        <f>IF(C8="y",1,IF(C8="n",0," "))</f>
        <v>0</v>
      </c>
      <c r="E8" s="57"/>
      <c r="F8" s="99" t="s">
        <v>16</v>
      </c>
      <c r="G8" s="99"/>
    </row>
    <row r="9" spans="1:8" ht="121.5">
      <c r="A9" s="66">
        <v>2.04</v>
      </c>
      <c r="B9" s="67" t="s">
        <v>19</v>
      </c>
      <c r="C9" s="56" t="s">
        <v>20</v>
      </c>
      <c r="D9" s="59">
        <f>IF(C9="y",1,IF(C9="n",0," "))</f>
        <v>1</v>
      </c>
      <c r="E9" s="57"/>
      <c r="F9" s="99" t="s">
        <v>16</v>
      </c>
      <c r="G9" s="99"/>
    </row>
    <row r="10" spans="1:8" ht="106.5">
      <c r="A10" s="66">
        <v>2.0499999999999998</v>
      </c>
      <c r="B10" s="67" t="s">
        <v>21</v>
      </c>
      <c r="C10" s="56" t="s">
        <v>22</v>
      </c>
      <c r="D10" s="60"/>
      <c r="E10" s="57"/>
      <c r="F10" s="58" t="s">
        <v>23</v>
      </c>
      <c r="G10" s="56" t="s">
        <v>24</v>
      </c>
    </row>
    <row r="11" spans="1:8">
      <c r="A11" s="66">
        <v>3.01</v>
      </c>
      <c r="B11" s="67" t="s">
        <v>25</v>
      </c>
      <c r="C11" s="56" t="s">
        <v>20</v>
      </c>
      <c r="D11" s="59">
        <f>IF(C11="n",LOOKUP($C$10,LUT!$I$13:$L$13,LUT!$I$14:$L$14),IF(AND(C11="y",AND($C$6=1,$C$7=1)),2,IF(AND(C11="y",AND($C$6=1,$C$7=2)),1,IF(AND(C11="y",AND($C$6=1,$C$7=3)),1,IF(AND(C11="y",AND($C$6=2,$C$7=1)),2,IF(AND(C11="y",AND($C$6=2,$C$7=2)),2,IF(AND(C11="y",AND($C$6=2,$C$7=3)),1,IF(AND(C11="y",AND($C$6=3,$C$7=1)),2,IF(AND(C11="y",AND($C$6=3,$C$7=2)),2,IF(AND(C11="y",AND($C$6=3,$C$7=3)),2,""))))))))))</f>
        <v>2</v>
      </c>
      <c r="E11" s="57"/>
      <c r="F11" s="58" t="s">
        <v>26</v>
      </c>
      <c r="G11" s="58" t="s">
        <v>27</v>
      </c>
    </row>
    <row r="12" spans="1:8" ht="91.5">
      <c r="A12" s="66">
        <v>3.02</v>
      </c>
      <c r="B12" s="67" t="s">
        <v>28</v>
      </c>
      <c r="C12" s="56" t="s">
        <v>22</v>
      </c>
      <c r="D12" s="59" t="str">
        <f>IF(C12="n",LOOKUP($C$10,LUT!$I$13:$L$13,LUT!$I$15:$L$15),IF(AND(C12="y",AND($C$6=1,$C$7=1)),2,IF(AND(C12="y",AND($C$6=1,$C$7=2)),1,IF(AND(C12="y",AND($C$6=1,$C$7=3)),1,IF(AND(C12="y",AND($C$6=2,$C$7=1)),2,IF(AND(C12="y",AND($C$6=2,$C$7=2)),2,IF(AND(C12="y",AND($C$6=2,$C$7=3)),1,IF(AND(C12="y",AND($C$6=3,$C$7=1)),2,IF(AND(C12="y",AND($C$6=3,$C$7=2)),2,IF(AND(C12="y",AND($C$6=3,$C$7=3)),2,""))))))))))</f>
        <v/>
      </c>
      <c r="E12" s="57"/>
      <c r="F12" s="101" t="s">
        <v>29</v>
      </c>
      <c r="G12" s="56" t="s">
        <v>30</v>
      </c>
    </row>
    <row r="13" spans="1:8" ht="152.25">
      <c r="A13" s="66">
        <v>3.03</v>
      </c>
      <c r="B13" s="67" t="s">
        <v>31</v>
      </c>
      <c r="C13" s="56" t="s">
        <v>20</v>
      </c>
      <c r="D13" s="59">
        <f>IF(C13="n",LOOKUP($C$10,LUT!$I$13:$L$13,LUT!$I$15:$L$15),IF(AND(C13="y",AND($C$6=1,$C$7=1)),4,IF(AND(C13="y",AND($C$6=1,$C$7=2)),2,IF(AND(C13="y",AND($C$6=1,$C$7=3)),1,IF(AND(C13="y",AND($C$6=2,$C$7=1)),4,IF(AND(C13="y",AND($C$6=2,$C$7=2)),3,IF(AND(C13="y",AND($C$6=2,$C$7=3)),2,IF(AND(C13="y",AND($C$6=3,$C$7=1)),4,IF(AND(C13="y",AND($C$6=3,$C$7=2)),4,IF(AND(C13="y",AND($C$6=3,$C$7=3)),4,""))))))))))</f>
        <v>3</v>
      </c>
      <c r="E13" s="57"/>
      <c r="F13" s="100" t="s">
        <v>32</v>
      </c>
      <c r="G13" s="64" t="s">
        <v>33</v>
      </c>
    </row>
    <row r="14" spans="1:8" ht="45.75">
      <c r="A14" s="66">
        <v>3.04</v>
      </c>
      <c r="B14" s="67" t="s">
        <v>34</v>
      </c>
      <c r="C14" s="56" t="s">
        <v>22</v>
      </c>
      <c r="D14" s="59" t="str">
        <f>IF(C14="n",LOOKUP($C$10,LUT!$I$13:$L$13,LUT!$I$15:$L$15),IF(AND(C14="y",AND($C$6=1,$C$7=1)),4,IF(AND(C14="y",AND($C$6=1,$C$7=2)),2,IF(AND(C14="y",AND($C$6=1,$C$7=3)),1,IF(AND(C14="y",AND($C$6=2,$C$7=1)),4,IF(AND(C14="y",AND($C$6=2,$C$7=2)),3,IF(AND(C14="y",AND($C$6=2,$C$7=3)),2,IF(AND(C14="y",AND($C$6=3,$C$7=1)),4,IF(AND(C14="y",AND($C$6=3,$C$7=2)),4,IF(AND(C14="y",AND($C$6=3,$C$7=3)),4,""))))))))))</f>
        <v/>
      </c>
      <c r="E14" s="57"/>
      <c r="F14" s="64" t="s">
        <v>35</v>
      </c>
      <c r="G14" s="104" t="s">
        <v>36</v>
      </c>
    </row>
    <row r="15" spans="1:8" ht="91.5">
      <c r="A15" s="66">
        <v>3.05</v>
      </c>
      <c r="B15" s="67" t="s">
        <v>37</v>
      </c>
      <c r="C15" s="56" t="s">
        <v>20</v>
      </c>
      <c r="D15" s="59">
        <f>IF(C15="n",LOOKUP($C$10,LUT!$I$13:$L$13,LUT!$I$15:$L$15),IF(AND(C15="y",AND($C$6=1,$C$7=1)),2,IF(AND(C15="y",AND($C$6=1,$C$7=2)),1,IF(AND(C15="y",AND($C$6=1,$C$7=3)),1,IF(AND(C15="y",AND($C$6=2,$C$7=1)),2,IF(AND(C15="y",AND($C$6=2,$C$7=2)),2,IF(AND(C15="y",AND($C$6=2,$C$7=3)),1,IF(AND(C15="y",AND($C$6=3,$C$7=1)),2,IF(AND(C15="y",AND($C$6=3,$C$7=2)),2,IF(AND(C15="y",AND($C$6=3,$C$7=3)),2,""))))))))))</f>
        <v>2</v>
      </c>
      <c r="E15" s="57"/>
      <c r="F15" s="64" t="s">
        <v>38</v>
      </c>
      <c r="G15" s="64" t="s">
        <v>39</v>
      </c>
    </row>
    <row r="16" spans="1:8">
      <c r="A16" s="66">
        <v>4.01</v>
      </c>
      <c r="B16" s="67" t="s">
        <v>40</v>
      </c>
      <c r="C16" s="56" t="s">
        <v>11</v>
      </c>
      <c r="D16" s="59">
        <f>IF(C16="y",VLOOKUP(LUT!C17,LUT!$C$4:$E$52,3),IF(C16="n",VLOOKUP(LUT!C17,LUT!$C$4:$E$52,2)," "))</f>
        <v>0</v>
      </c>
      <c r="E16" s="57"/>
      <c r="F16" s="64" t="s">
        <v>12</v>
      </c>
      <c r="G16" s="64"/>
    </row>
    <row r="17" spans="1:7" ht="244.5">
      <c r="A17" s="66">
        <v>4.0199999999999996</v>
      </c>
      <c r="B17" s="67" t="s">
        <v>41</v>
      </c>
      <c r="C17" s="56" t="s">
        <v>22</v>
      </c>
      <c r="D17" s="59" t="str">
        <f>IF(C17="y",VLOOKUP(LUT!C18,LUT!C4:E52,3),IF(C17="n",VLOOKUP(LUT!C18,LUT!C4:E52,2)," "))</f>
        <v xml:space="preserve"> </v>
      </c>
      <c r="E17" s="57"/>
      <c r="F17" s="64" t="s">
        <v>42</v>
      </c>
      <c r="G17" s="64" t="s">
        <v>43</v>
      </c>
    </row>
    <row r="18" spans="1:7">
      <c r="A18" s="66">
        <v>4.03</v>
      </c>
      <c r="B18" s="67" t="s">
        <v>44</v>
      </c>
      <c r="C18" s="56" t="s">
        <v>11</v>
      </c>
      <c r="D18" s="59">
        <f>IF(C18="y",VLOOKUP(LUT!C19,LUT!$C$4:$E$52,3),IF(C18="n",VLOOKUP(LUT!C19,LUT!$C$4:$E$52,2)," "))</f>
        <v>0</v>
      </c>
      <c r="E18" s="57"/>
      <c r="F18" s="64" t="s">
        <v>12</v>
      </c>
      <c r="G18" s="64"/>
    </row>
    <row r="19" spans="1:7" ht="152.25">
      <c r="A19" s="66">
        <v>4.04</v>
      </c>
      <c r="B19" s="67" t="s">
        <v>45</v>
      </c>
      <c r="C19" s="56" t="s">
        <v>11</v>
      </c>
      <c r="D19" s="59">
        <f>IF(C19="y",VLOOKUP(LUT!C20,LUT!$C$4:$E$52,3),IF(C19="n",VLOOKUP(LUT!C20,LUT!$C$4:$E$52,2)," "))</f>
        <v>-1</v>
      </c>
      <c r="E19" s="57"/>
      <c r="F19" s="64" t="s">
        <v>46</v>
      </c>
      <c r="G19" s="64" t="s">
        <v>33</v>
      </c>
    </row>
    <row r="20" spans="1:7" ht="152.25">
      <c r="A20" s="66">
        <v>4.05</v>
      </c>
      <c r="B20" s="67" t="s">
        <v>47</v>
      </c>
      <c r="C20" s="56" t="s">
        <v>20</v>
      </c>
      <c r="D20" s="59">
        <f>IF(C20="y",VLOOKUP(LUT!C21,LUT!$C$4:$E$52,3),IF(C20="n",VLOOKUP(LUT!C21,LUT!$C$4:$E$52,2)," "))</f>
        <v>1</v>
      </c>
      <c r="E20" s="57"/>
      <c r="F20" s="100" t="s">
        <v>32</v>
      </c>
      <c r="G20" s="64" t="s">
        <v>33</v>
      </c>
    </row>
    <row r="21" spans="1:7">
      <c r="A21" s="66">
        <v>4.0599999999999996</v>
      </c>
      <c r="B21" s="67" t="s">
        <v>48</v>
      </c>
      <c r="C21" s="56" t="s">
        <v>22</v>
      </c>
      <c r="D21" s="59" t="str">
        <f>IF(C21="y",VLOOKUP(LUT!C22,LUT!$C$4:$E$52,3),IF(C21="n",VLOOKUP(LUT!C22,LUT!$C$4:$E$52,2)," "))</f>
        <v xml:space="preserve"> </v>
      </c>
      <c r="E21" s="57"/>
      <c r="F21" s="64" t="s">
        <v>49</v>
      </c>
      <c r="G21" s="64"/>
    </row>
    <row r="22" spans="1:7" ht="244.5">
      <c r="A22" s="66">
        <v>4.07</v>
      </c>
      <c r="B22" s="67" t="s">
        <v>50</v>
      </c>
      <c r="C22" s="56" t="s">
        <v>22</v>
      </c>
      <c r="D22" s="59" t="str">
        <f>IF(C22="y",VLOOKUP(LUT!C23,LUT!$C$4:$E$52,3),IF(C22="n",VLOOKUP(LUT!C23,LUT!$C$4:$E$52,2)," "))</f>
        <v xml:space="preserve"> </v>
      </c>
      <c r="E22" s="57"/>
      <c r="F22" s="64" t="s">
        <v>51</v>
      </c>
      <c r="G22" s="64" t="s">
        <v>52</v>
      </c>
    </row>
    <row r="23" spans="1:7">
      <c r="A23" s="66">
        <v>4.08</v>
      </c>
      <c r="B23" s="67" t="s">
        <v>53</v>
      </c>
      <c r="C23" s="56" t="s">
        <v>22</v>
      </c>
      <c r="D23" s="59" t="str">
        <f>IF(C23="y",VLOOKUP(LUT!C24,LUT!$C$4:$E$52,3),IF(C23="n",VLOOKUP(LUT!C24,LUT!$C$4:$E$52,2)," "))</f>
        <v xml:space="preserve"> </v>
      </c>
      <c r="E23" s="57"/>
      <c r="F23" s="64" t="s">
        <v>49</v>
      </c>
      <c r="G23" s="64"/>
    </row>
    <row r="24" spans="1:7" ht="121.5">
      <c r="A24" s="66">
        <v>4.09</v>
      </c>
      <c r="B24" s="67" t="s">
        <v>54</v>
      </c>
      <c r="C24" s="56" t="s">
        <v>20</v>
      </c>
      <c r="D24" s="59">
        <f>IF(C24="y",VLOOKUP(LUT!C25,LUT!$C$4:$E$52,3),IF(C24="n",VLOOKUP(LUT!C25,LUT!$C$4:$E$52,2)," "))</f>
        <v>1</v>
      </c>
      <c r="E24" s="57"/>
      <c r="F24" s="64" t="s">
        <v>55</v>
      </c>
      <c r="G24" s="64" t="s">
        <v>56</v>
      </c>
    </row>
    <row r="25" spans="1:7" ht="60.75">
      <c r="A25" s="66">
        <v>4.0999999999999996</v>
      </c>
      <c r="B25" s="68" t="s">
        <v>57</v>
      </c>
      <c r="C25" s="56" t="s">
        <v>20</v>
      </c>
      <c r="D25" s="59">
        <f>IF(C25="y",VLOOKUP(LUT!C26,LUT!$C$4:$E$52,3),IF(C25="n",VLOOKUP(LUT!C26,LUT!$C$4:$E$52,2)," "))</f>
        <v>1</v>
      </c>
      <c r="E25" s="57"/>
      <c r="F25" s="64" t="s">
        <v>58</v>
      </c>
      <c r="G25" s="64" t="s">
        <v>59</v>
      </c>
    </row>
    <row r="26" spans="1:7">
      <c r="A26" s="66">
        <v>4.1100000000000003</v>
      </c>
      <c r="B26" s="67" t="s">
        <v>60</v>
      </c>
      <c r="C26" s="56" t="s">
        <v>20</v>
      </c>
      <c r="D26" s="59">
        <f>IF(C26="y",VLOOKUP(LUT!C27,LUT!$C$4:$E$52,3),IF(C26="n",VLOOKUP(LUT!C27,LUT!$C$4:$E$52,2)," "))</f>
        <v>1</v>
      </c>
      <c r="E26" s="57"/>
      <c r="F26" s="64" t="s">
        <v>61</v>
      </c>
      <c r="G26" s="64"/>
    </row>
    <row r="27" spans="1:7">
      <c r="A27" s="66">
        <v>4.12</v>
      </c>
      <c r="B27" s="67" t="s">
        <v>62</v>
      </c>
      <c r="C27" s="56" t="s">
        <v>11</v>
      </c>
      <c r="D27" s="59">
        <f>IF(C27="y",VLOOKUP(LUT!C28,LUT!$C$4:$E$52,3),IF(C27="n",VLOOKUP(LUT!C28,LUT!$C$4:$E$52,2)," "))</f>
        <v>0</v>
      </c>
      <c r="E27" s="57"/>
      <c r="F27" s="64" t="s">
        <v>12</v>
      </c>
      <c r="G27" s="64"/>
    </row>
    <row r="28" spans="1:7">
      <c r="A28" s="66">
        <v>5.01</v>
      </c>
      <c r="B28" s="67" t="s">
        <v>63</v>
      </c>
      <c r="C28" s="56" t="s">
        <v>11</v>
      </c>
      <c r="D28" s="59">
        <f>IF(C28="y",VLOOKUP(LUT!C29,LUT!$C$4:$E$52,3),IF(C28="n",VLOOKUP(LUT!C29,LUT!$C$4:$E$52,2)," "))</f>
        <v>0</v>
      </c>
      <c r="E28" s="57"/>
      <c r="F28" s="64" t="s">
        <v>12</v>
      </c>
      <c r="G28" s="64"/>
    </row>
    <row r="29" spans="1:7">
      <c r="A29" s="66">
        <v>5.0199999999999996</v>
      </c>
      <c r="B29" s="67" t="s">
        <v>64</v>
      </c>
      <c r="C29" s="56" t="s">
        <v>11</v>
      </c>
      <c r="D29" s="59">
        <f>IF(C29="y",VLOOKUP(LUT!C30,LUT!$C$4:$E$52,3),IF(C29="n",VLOOKUP(LUT!C30,LUT!$C$4:$E$52,2)," "))</f>
        <v>0</v>
      </c>
      <c r="E29" s="57"/>
      <c r="F29" s="64" t="s">
        <v>65</v>
      </c>
      <c r="G29" s="64"/>
    </row>
    <row r="30" spans="1:7">
      <c r="A30" s="66">
        <v>5.03</v>
      </c>
      <c r="B30" s="67" t="s">
        <v>66</v>
      </c>
      <c r="C30" s="56" t="s">
        <v>11</v>
      </c>
      <c r="D30" s="59">
        <f>IF(C30="y",VLOOKUP(LUT!C31,LUT!$C$4:$E$52,3),IF(C30="n",VLOOKUP(LUT!C31,LUT!$C$4:$E$52,2)," "))</f>
        <v>0</v>
      </c>
      <c r="E30" s="57"/>
      <c r="F30" s="64" t="s">
        <v>12</v>
      </c>
      <c r="G30" s="64"/>
    </row>
    <row r="31" spans="1:7">
      <c r="A31" s="66">
        <v>5.04</v>
      </c>
      <c r="B31" s="67" t="s">
        <v>67</v>
      </c>
      <c r="C31" s="56" t="s">
        <v>11</v>
      </c>
      <c r="D31" s="59">
        <f>IF(C31="y",VLOOKUP(LUT!C32,LUT!$C$4:$E$52,3),IF(C31="n",VLOOKUP(LUT!C32,LUT!$C$4:$E$52,2)," "))</f>
        <v>0</v>
      </c>
      <c r="E31" s="57"/>
      <c r="F31" s="64" t="s">
        <v>68</v>
      </c>
      <c r="G31" s="64" t="s">
        <v>69</v>
      </c>
    </row>
    <row r="32" spans="1:7" ht="30.75">
      <c r="A32" s="66">
        <v>6.01</v>
      </c>
      <c r="B32" s="67" t="s">
        <v>70</v>
      </c>
      <c r="C32" s="56" t="s">
        <v>11</v>
      </c>
      <c r="D32" s="59">
        <f>IF(C32="y",VLOOKUP(LUT!C33,LUT!$C$4:$E$52,3),IF(C32="n",VLOOKUP(LUT!C33,LUT!$C$4:$E$52,2)," "))</f>
        <v>0</v>
      </c>
      <c r="E32" s="57"/>
      <c r="F32" s="64" t="s">
        <v>12</v>
      </c>
      <c r="G32" s="64"/>
    </row>
    <row r="33" spans="1:7" ht="91.5">
      <c r="A33" s="66">
        <v>6.02</v>
      </c>
      <c r="B33" s="67" t="s">
        <v>71</v>
      </c>
      <c r="C33" s="56" t="s">
        <v>20</v>
      </c>
      <c r="D33" s="59">
        <f>IF(C33="y",VLOOKUP(LUT!C34,LUT!$C$4:$E$52,3),IF(C33="n",VLOOKUP(LUT!C34,LUT!$C$4:$E$52,2)," "))</f>
        <v>1</v>
      </c>
      <c r="E33" s="57"/>
      <c r="F33" s="64" t="s">
        <v>72</v>
      </c>
      <c r="G33" s="64" t="s">
        <v>73</v>
      </c>
    </row>
    <row r="34" spans="1:7" ht="183">
      <c r="A34" s="66">
        <v>6.03</v>
      </c>
      <c r="B34" s="67" t="s">
        <v>74</v>
      </c>
      <c r="C34" s="56" t="s">
        <v>11</v>
      </c>
      <c r="D34" s="59">
        <f>IF(C34="y",VLOOKUP(LUT!C35,LUT!$C$4:$E$52,3),IF(C34="n",VLOOKUP(LUT!C35,LUT!$C$4:$E$52,2)," "))</f>
        <v>-1</v>
      </c>
      <c r="E34" s="57"/>
      <c r="F34" s="64" t="s">
        <v>75</v>
      </c>
      <c r="G34" s="64" t="s">
        <v>76</v>
      </c>
    </row>
    <row r="35" spans="1:7" ht="91.5">
      <c r="A35" s="66">
        <v>6.04</v>
      </c>
      <c r="B35" s="67" t="s">
        <v>77</v>
      </c>
      <c r="C35" s="56" t="s">
        <v>11</v>
      </c>
      <c r="D35" s="59">
        <f>IF(C35="y",VLOOKUP(LUT!C36,LUT!$C$4:$E$52,3),IF(C35="n",VLOOKUP(LUT!C36,LUT!$C$4:$E$52,2)," "))</f>
        <v>-1</v>
      </c>
      <c r="E35" s="57"/>
      <c r="F35" s="64" t="s">
        <v>78</v>
      </c>
      <c r="G35" s="64" t="s">
        <v>79</v>
      </c>
    </row>
    <row r="36" spans="1:7">
      <c r="A36" s="66">
        <v>6.05</v>
      </c>
      <c r="B36" s="67" t="s">
        <v>80</v>
      </c>
      <c r="C36" s="56" t="s">
        <v>11</v>
      </c>
      <c r="D36" s="59">
        <f>IF(C36="y",VLOOKUP(LUT!C37,LUT!$C$4:$E$52,3),IF(C36="n",VLOOKUP(LUT!C37,LUT!$C$4:$E$52,2)," "))</f>
        <v>0</v>
      </c>
      <c r="E36" s="57"/>
      <c r="F36" s="64" t="s">
        <v>81</v>
      </c>
      <c r="G36" s="104" t="s">
        <v>82</v>
      </c>
    </row>
    <row r="37" spans="1:7" ht="183">
      <c r="A37" s="66">
        <v>6.06</v>
      </c>
      <c r="B37" s="67" t="s">
        <v>83</v>
      </c>
      <c r="C37" s="56" t="s">
        <v>20</v>
      </c>
      <c r="D37" s="59">
        <f>IF(C37="y",VLOOKUP(LUT!C38,LUT!$C$4:$E$52,3),IF(C37="n",VLOOKUP(LUT!C38,LUT!$C$4:$E$52,2)," "))</f>
        <v>1</v>
      </c>
      <c r="E37" s="57"/>
      <c r="F37" s="64" t="s">
        <v>84</v>
      </c>
      <c r="G37" s="56" t="s">
        <v>85</v>
      </c>
    </row>
    <row r="38" spans="1:7">
      <c r="A38" s="66">
        <v>6.07</v>
      </c>
      <c r="B38" s="67" t="s">
        <v>86</v>
      </c>
      <c r="C38" s="84" t="s">
        <v>22</v>
      </c>
      <c r="D38" s="59" t="str">
        <f>IF(C38="1 or fewer",1,IF(C38="2 or 3",0,IF(C38&gt;="4 or more",-1," ")))</f>
        <v xml:space="preserve"> </v>
      </c>
      <c r="E38" s="57"/>
      <c r="F38" s="64" t="s">
        <v>49</v>
      </c>
      <c r="G38" s="64"/>
    </row>
    <row r="39" spans="1:7" ht="30.75">
      <c r="A39" s="66">
        <v>7.01</v>
      </c>
      <c r="B39" s="67" t="s">
        <v>87</v>
      </c>
      <c r="C39" s="56" t="s">
        <v>22</v>
      </c>
      <c r="D39" s="59" t="str">
        <f>IF(C39="y",VLOOKUP(LUT!C40,LUT!$C$4:$E$52,3),IF(C39="n",VLOOKUP(LUT!C40,LUT!$C$4:$E$52,2)," "))</f>
        <v xml:space="preserve"> </v>
      </c>
      <c r="E39" s="57"/>
      <c r="F39" s="101" t="s">
        <v>88</v>
      </c>
      <c r="G39" s="104" t="s">
        <v>36</v>
      </c>
    </row>
    <row r="40" spans="1:7" ht="91.5">
      <c r="A40" s="66">
        <v>7.02</v>
      </c>
      <c r="B40" s="67" t="s">
        <v>89</v>
      </c>
      <c r="C40" s="56" t="s">
        <v>20</v>
      </c>
      <c r="D40" s="59">
        <f>IF(C40="y",VLOOKUP(LUT!C41,LUT!$C$4:$E$52,3),IF(C40="n",VLOOKUP(LUT!C41,LUT!$C$4:$E$52,2)," "))</f>
        <v>1</v>
      </c>
      <c r="E40" s="57"/>
      <c r="F40" s="64" t="s">
        <v>90</v>
      </c>
      <c r="G40" s="64" t="s">
        <v>91</v>
      </c>
    </row>
    <row r="41" spans="1:7" ht="30.75">
      <c r="A41" s="66">
        <v>7.03</v>
      </c>
      <c r="B41" s="67" t="s">
        <v>92</v>
      </c>
      <c r="C41" s="56" t="s">
        <v>11</v>
      </c>
      <c r="D41" s="59">
        <f>IF(C41="y",VLOOKUP(LUT!C42,LUT!$C$4:$E$52,3),IF(C41="n",VLOOKUP(LUT!C42,LUT!$C$4:$E$52,2)," "))</f>
        <v>-1</v>
      </c>
      <c r="E41" s="57"/>
      <c r="F41" s="64" t="s">
        <v>12</v>
      </c>
      <c r="G41" s="64"/>
    </row>
    <row r="42" spans="1:7">
      <c r="A42" s="66">
        <v>7.04</v>
      </c>
      <c r="B42" s="67" t="s">
        <v>93</v>
      </c>
      <c r="C42" s="56" t="s">
        <v>11</v>
      </c>
      <c r="D42" s="59">
        <f>IF(C42="y",VLOOKUP(LUT!C43,LUT!$C$4:$E$52,3),IF(C42="n",VLOOKUP(LUT!C43,LUT!$C$4:$E$52,2)," "))</f>
        <v>-1</v>
      </c>
      <c r="E42" s="57"/>
      <c r="F42" s="64" t="s">
        <v>12</v>
      </c>
      <c r="G42" s="64"/>
    </row>
    <row r="43" spans="1:7" ht="45.75">
      <c r="A43" s="66">
        <v>7.05</v>
      </c>
      <c r="B43" s="67" t="s">
        <v>94</v>
      </c>
      <c r="C43" s="56" t="s">
        <v>22</v>
      </c>
      <c r="D43" s="59" t="str">
        <f>IF(C43="y",VLOOKUP(LUT!C44,LUT!$C$4:$E$52,3),IF(C43="n",VLOOKUP(LUT!C44,LUT!$C$4:$E$52,2)," "))</f>
        <v xml:space="preserve"> </v>
      </c>
      <c r="E43" s="57"/>
      <c r="F43" s="64" t="s">
        <v>95</v>
      </c>
      <c r="G43" s="104" t="s">
        <v>36</v>
      </c>
    </row>
    <row r="44" spans="1:7">
      <c r="A44" s="66">
        <v>7.06</v>
      </c>
      <c r="B44" s="67" t="s">
        <v>96</v>
      </c>
      <c r="C44" s="56" t="s">
        <v>11</v>
      </c>
      <c r="D44" s="59">
        <f>IF(C44="y",VLOOKUP(LUT!C45,LUT!$C$4:$E$52,3),IF(C44="n",VLOOKUP(LUT!C45,LUT!$C$4:$E$52,2)," "))</f>
        <v>-1</v>
      </c>
      <c r="E44" s="57"/>
      <c r="F44" s="64" t="s">
        <v>97</v>
      </c>
      <c r="G44" s="104" t="s">
        <v>36</v>
      </c>
    </row>
    <row r="45" spans="1:7" ht="30.75">
      <c r="A45" s="66">
        <v>7.07</v>
      </c>
      <c r="B45" s="67" t="s">
        <v>98</v>
      </c>
      <c r="C45" s="56" t="s">
        <v>22</v>
      </c>
      <c r="D45" s="59" t="str">
        <f>IF(C45="y",VLOOKUP(LUT!C46,LUT!$C$4:$E$52,3),IF(C45="n",VLOOKUP(LUT!C46,LUT!$C$4:$E$52,2)," "))</f>
        <v xml:space="preserve"> </v>
      </c>
      <c r="E45" s="57"/>
      <c r="F45" s="64" t="s">
        <v>99</v>
      </c>
      <c r="G45" s="64"/>
    </row>
    <row r="46" spans="1:7">
      <c r="A46" s="66">
        <v>7.08</v>
      </c>
      <c r="B46" s="67" t="s">
        <v>100</v>
      </c>
      <c r="C46" s="56" t="s">
        <v>22</v>
      </c>
      <c r="D46" s="59" t="str">
        <f>IF(C46="y",VLOOKUP(LUT!C47,LUT!$C$4:$E$52,3),IF(C46="n",VLOOKUP(LUT!C47,LUT!$C$4:$E$52,2)," "))</f>
        <v xml:space="preserve"> </v>
      </c>
      <c r="E46" s="57"/>
      <c r="F46" s="64" t="s">
        <v>49</v>
      </c>
      <c r="G46" s="64"/>
    </row>
    <row r="47" spans="1:7" ht="30.75">
      <c r="A47" s="66">
        <v>8.01</v>
      </c>
      <c r="B47" s="67" t="s">
        <v>101</v>
      </c>
      <c r="C47" s="56" t="s">
        <v>11</v>
      </c>
      <c r="D47" s="59">
        <f>IF(C47="y",VLOOKUP(LUT!C48,LUT!$C$4:$E$52,3),IF(C47="n",VLOOKUP(LUT!C48,LUT!$C$4:$E$52,2)," "))</f>
        <v>-1</v>
      </c>
      <c r="E47" s="57"/>
      <c r="F47" s="64" t="s">
        <v>102</v>
      </c>
      <c r="G47" s="104" t="s">
        <v>36</v>
      </c>
    </row>
    <row r="48" spans="1:7" ht="45.75">
      <c r="A48" s="66">
        <v>8.02</v>
      </c>
      <c r="B48" s="67" t="s">
        <v>103</v>
      </c>
      <c r="C48" s="56" t="s">
        <v>20</v>
      </c>
      <c r="D48" s="59">
        <f>IF(C48="y",VLOOKUP(LUT!C49,LUT!$C$4:$E$52,3),IF(C48="n",VLOOKUP(LUT!C49,LUT!$C$4:$E$52,2)," "))</f>
        <v>1</v>
      </c>
      <c r="E48" s="57"/>
      <c r="F48" s="64" t="s">
        <v>104</v>
      </c>
      <c r="G48" s="64" t="s">
        <v>105</v>
      </c>
    </row>
    <row r="49" spans="1:7" ht="213">
      <c r="A49" s="66">
        <v>8.0299999999999994</v>
      </c>
      <c r="B49" s="67" t="s">
        <v>106</v>
      </c>
      <c r="C49" s="56" t="s">
        <v>20</v>
      </c>
      <c r="D49" s="59">
        <f>IF(C49="y",VLOOKUP(LUT!C50,LUT!$C$4:$E$52,3),IF(C49="n",VLOOKUP(LUT!C50,LUT!$C$4:$E$52,2)," "))</f>
        <v>-1</v>
      </c>
      <c r="E49" s="57"/>
      <c r="F49" s="64" t="s">
        <v>107</v>
      </c>
      <c r="G49" s="64" t="s">
        <v>108</v>
      </c>
    </row>
    <row r="50" spans="1:7" ht="183">
      <c r="A50" s="66">
        <v>8.0399999999999991</v>
      </c>
      <c r="B50" s="67" t="s">
        <v>109</v>
      </c>
      <c r="C50" s="56" t="s">
        <v>20</v>
      </c>
      <c r="D50" s="59">
        <f>IF(C50="y",VLOOKUP(LUT!C51,LUT!$C$4:$E$52,3),IF(C50="n",VLOOKUP(LUT!C51,LUT!$C$4:$E$52,2)," "))</f>
        <v>1</v>
      </c>
      <c r="E50" s="57"/>
      <c r="F50" s="64" t="s">
        <v>110</v>
      </c>
      <c r="G50" s="56" t="s">
        <v>85</v>
      </c>
    </row>
    <row r="51" spans="1:7">
      <c r="A51" s="66">
        <v>8.0500000000000007</v>
      </c>
      <c r="B51" s="67" t="s">
        <v>111</v>
      </c>
      <c r="C51" s="56" t="s">
        <v>22</v>
      </c>
      <c r="D51" s="59" t="str">
        <f>IF(C51="y",VLOOKUP(LUT!C52,LUT!$C$4:$E$52,3),IF(C51="n",VLOOKUP(LUT!C52,LUT!$C$4:$E$52,2)," "))</f>
        <v xml:space="preserve"> </v>
      </c>
      <c r="E51" s="57"/>
      <c r="F51" s="64" t="s">
        <v>49</v>
      </c>
      <c r="G51" s="64"/>
    </row>
    <row r="52" spans="1:7" ht="15.95" thickBot="1">
      <c r="A52" s="87"/>
      <c r="B52" s="86"/>
      <c r="C52" s="56"/>
      <c r="D52" s="56"/>
      <c r="E52" s="57"/>
      <c r="F52" s="56"/>
      <c r="G52" s="56"/>
    </row>
    <row r="53" spans="1:7" ht="29.25" customHeight="1" thickTop="1">
      <c r="A53" s="56"/>
      <c r="B53" s="56"/>
      <c r="C53" s="69" t="s">
        <v>112</v>
      </c>
      <c r="D53" s="61">
        <f>SUM(D3:D51)</f>
        <v>9</v>
      </c>
      <c r="E53" s="62"/>
      <c r="F53" s="56"/>
      <c r="G53" s="56"/>
    </row>
    <row r="54" spans="1:7" ht="33" customHeight="1" thickBot="1">
      <c r="A54" s="56"/>
      <c r="B54" s="56"/>
      <c r="C54" s="70" t="s">
        <v>113</v>
      </c>
      <c r="D54" s="21" t="str">
        <f>IF(E60="no","more info needed",IF(D53&lt;1,"accept",IF(D53&gt;6,"reject","evaluate further")))</f>
        <v>reject</v>
      </c>
      <c r="E54" s="62"/>
      <c r="F54" s="56"/>
      <c r="G54" s="56"/>
    </row>
    <row r="55" spans="1:7" ht="17.100000000000001" thickTop="1" thickBot="1">
      <c r="A55" s="56"/>
      <c r="B55" s="56"/>
      <c r="C55" s="56"/>
      <c r="D55" s="56"/>
      <c r="E55" s="57"/>
      <c r="F55" s="56"/>
      <c r="G55" s="56"/>
    </row>
    <row r="56" spans="1:7" ht="33.950000000000003" thickTop="1" thickBot="1">
      <c r="A56" s="56"/>
      <c r="B56" s="22" t="s">
        <v>114</v>
      </c>
      <c r="C56" s="23" t="s">
        <v>115</v>
      </c>
      <c r="D56" s="19" t="s">
        <v>116</v>
      </c>
      <c r="E56" s="62"/>
      <c r="F56" s="63"/>
      <c r="G56" s="56"/>
    </row>
    <row r="57" spans="1:7" ht="17.100000000000001" thickTop="1">
      <c r="A57" s="56"/>
      <c r="B57" s="28" t="s">
        <v>117</v>
      </c>
      <c r="C57" s="24">
        <f>COUNTIF(C3:C15, "y")+COUNTIF(C3:C15, "n")+COUNTIF(C6:C7, "1")+COUNTIF(C6:C7, "2")+COUNTIF(C6:C7, "3")</f>
        <v>8</v>
      </c>
      <c r="D57" s="20" t="str">
        <f>IF(C57&gt;=2,"yes","no")</f>
        <v>yes</v>
      </c>
      <c r="E57" s="62"/>
      <c r="F57" s="56"/>
      <c r="G57" s="56"/>
    </row>
    <row r="58" spans="1:7" ht="15.95">
      <c r="A58" s="56"/>
      <c r="B58" s="29" t="s">
        <v>118</v>
      </c>
      <c r="C58" s="24">
        <f>COUNTIF(C16:C27,"y")+COUNTIF(C16:C27,"n")</f>
        <v>8</v>
      </c>
      <c r="D58" s="20" t="str">
        <f>IF(C58&gt;=2,"yes","no")</f>
        <v>yes</v>
      </c>
      <c r="E58" s="62"/>
      <c r="F58" s="56"/>
      <c r="G58" s="56"/>
    </row>
    <row r="59" spans="1:7" ht="15.95">
      <c r="A59" s="56"/>
      <c r="B59" s="28" t="s">
        <v>119</v>
      </c>
      <c r="C59" s="24">
        <f>COUNTIF(C28:C51,"y")+COUNTIF(C28:C51, "n")+COUNT(C28:C51)</f>
        <v>18</v>
      </c>
      <c r="D59" s="20" t="str">
        <f>IF(C59&gt;=6,"yes","no")</f>
        <v>yes</v>
      </c>
      <c r="E59" s="62"/>
      <c r="F59" s="56"/>
      <c r="G59" s="56"/>
    </row>
    <row r="60" spans="1:7" ht="17.100000000000001" thickBot="1">
      <c r="A60" s="56"/>
      <c r="B60" s="25" t="s">
        <v>120</v>
      </c>
      <c r="C60" s="26">
        <f>SUM(C57:C59)</f>
        <v>34</v>
      </c>
      <c r="D60" s="21" t="str">
        <f>IF(D57="no","no",IF(D58="no","no",IF(D59="no","no","yes")))</f>
        <v>yes</v>
      </c>
      <c r="E60" s="62"/>
      <c r="F60" s="56"/>
      <c r="G60" s="56"/>
    </row>
    <row r="61" spans="1:7" ht="15.95" thickTop="1">
      <c r="A61" s="56"/>
      <c r="B61" s="56"/>
      <c r="C61" s="56"/>
      <c r="D61" s="56"/>
      <c r="E61" s="57"/>
      <c r="F61" s="56"/>
      <c r="G61" s="56"/>
    </row>
    <row r="62" spans="1:7">
      <c r="A62" s="56"/>
      <c r="B62" s="56"/>
      <c r="C62" s="56"/>
      <c r="D62" s="56"/>
      <c r="E62" s="57"/>
      <c r="F62" s="56"/>
      <c r="G62" s="56"/>
    </row>
    <row r="63" spans="1:7" ht="15.95" thickBot="1">
      <c r="A63" s="56"/>
      <c r="B63" s="109" t="s">
        <v>121</v>
      </c>
      <c r="C63" s="109"/>
      <c r="D63" s="109"/>
      <c r="E63" s="62"/>
      <c r="F63" s="56"/>
      <c r="G63" s="56"/>
    </row>
    <row r="64" spans="1:7" ht="15.95" thickBot="1">
      <c r="A64" s="56"/>
      <c r="B64" s="110" t="s">
        <v>122</v>
      </c>
      <c r="C64" s="111"/>
      <c r="D64" s="112"/>
      <c r="E64" s="62"/>
      <c r="F64" s="56"/>
      <c r="G64" s="56"/>
    </row>
    <row r="65" spans="1:7">
      <c r="A65" s="56">
        <v>9.01</v>
      </c>
      <c r="B65" s="71" t="s">
        <v>123</v>
      </c>
      <c r="C65" s="113"/>
      <c r="D65" s="114"/>
      <c r="E65" s="62"/>
      <c r="F65" s="56"/>
      <c r="G65" s="56"/>
    </row>
    <row r="66" spans="1:7">
      <c r="A66" s="56">
        <v>9.02</v>
      </c>
      <c r="B66" s="71" t="s">
        <v>124</v>
      </c>
      <c r="C66" s="115"/>
      <c r="D66" s="116"/>
      <c r="E66" s="62"/>
      <c r="F66" s="56"/>
      <c r="G66" s="56"/>
    </row>
    <row r="67" spans="1:7">
      <c r="A67" s="56">
        <v>9.0299999999999994</v>
      </c>
      <c r="B67" s="71" t="s">
        <v>125</v>
      </c>
      <c r="C67" s="107"/>
      <c r="D67" s="108"/>
      <c r="E67" s="62"/>
      <c r="F67" s="56"/>
      <c r="G67" s="56"/>
    </row>
    <row r="68" spans="1:7">
      <c r="A68" s="56">
        <v>9.0399999999999991</v>
      </c>
      <c r="B68" s="71" t="s">
        <v>126</v>
      </c>
      <c r="C68" s="107"/>
      <c r="D68" s="108"/>
      <c r="E68" s="62"/>
      <c r="F68" s="56"/>
      <c r="G68" s="56"/>
    </row>
    <row r="69" spans="1:7">
      <c r="A69" s="56">
        <v>9.0500000000000007</v>
      </c>
      <c r="B69" s="71" t="s">
        <v>127</v>
      </c>
      <c r="C69" s="107"/>
      <c r="D69" s="108"/>
      <c r="E69" s="62"/>
      <c r="F69" s="56"/>
      <c r="G69" s="56"/>
    </row>
    <row r="70" spans="1:7">
      <c r="A70" s="56">
        <v>9.06</v>
      </c>
      <c r="B70" s="71" t="s">
        <v>128</v>
      </c>
      <c r="C70" s="107"/>
      <c r="D70" s="108"/>
      <c r="E70" s="62"/>
      <c r="F70" s="56"/>
      <c r="G70" s="56"/>
    </row>
    <row r="71" spans="1:7">
      <c r="A71" s="56">
        <v>9.07</v>
      </c>
      <c r="B71" s="71" t="s">
        <v>129</v>
      </c>
      <c r="C71" s="94"/>
      <c r="D71" s="97" t="str">
        <f>IF(C71="yes", IF(OR(C65="?", C66="?", C67="no", C67="?"), "eval.", IF(AND(C65="yes", C66="yes", C67="yes"), "reject", IF(OR(C65="no", C66="no"), "accept", " ")))," ")</f>
        <v xml:space="preserve"> </v>
      </c>
      <c r="E71" s="62"/>
      <c r="F71" s="56"/>
      <c r="G71" s="56"/>
    </row>
    <row r="72" spans="1:7">
      <c r="A72" s="56">
        <v>9.08</v>
      </c>
      <c r="B72" s="71" t="s">
        <v>130</v>
      </c>
      <c r="C72" s="92"/>
      <c r="D72" s="89" t="str">
        <f>IF(C71="yes","STOP",IF(C72="yes",IF(C68="no","accept",IF(AND(C68="yes",OR(C69="yes",C70="yes")),"reject",IF(OR(C68="?",C69="?",C70="?",C69="no",C70="no"),"eval.",""))), ""))</f>
        <v/>
      </c>
      <c r="E72" s="62"/>
      <c r="F72" s="56"/>
      <c r="G72" s="56"/>
    </row>
    <row r="73" spans="1:7" ht="15.95" thickBot="1">
      <c r="A73" s="56">
        <v>9.09</v>
      </c>
      <c r="B73" s="91" t="s">
        <v>131</v>
      </c>
      <c r="C73" s="93"/>
      <c r="D73" s="90" t="str">
        <f>IF(OR(C71="yes",C72="yes"),"STOP",IF(C73="yes",IF(AND(LUT!I26="accept",LUT!I27="accept"),"accept",IF(AND(LUT!I26="eval.",LUT!I27="eval."),"eval.",IF(OR(LUT!I26="reject",LUT!I27="reject"),"reject",""))),""))</f>
        <v/>
      </c>
      <c r="E73" s="62"/>
      <c r="F73" s="56"/>
      <c r="G73" s="56"/>
    </row>
    <row r="74" spans="1:7" ht="15.95" thickBot="1">
      <c r="A74" s="56"/>
      <c r="B74" s="72" t="s">
        <v>132</v>
      </c>
      <c r="C74" s="105" t="str">
        <f>IF(OR(D71="accept", D72="accept", D73="accept"), "Accept", IF(OR(D71="eval.", D72="eval.", D73="eval."), "Evaluate Further", IF(OR(D71="reject", D72="reject",D73="reject"), "Reject", "")))</f>
        <v/>
      </c>
      <c r="D74" s="106"/>
      <c r="E74" s="62"/>
      <c r="F74" s="56"/>
      <c r="G74" s="56"/>
    </row>
    <row r="75" spans="1:7">
      <c r="A75" s="56"/>
      <c r="B75" s="64"/>
      <c r="C75" s="64"/>
      <c r="D75" s="56"/>
      <c r="E75" s="57"/>
      <c r="F75" s="56"/>
      <c r="G75" s="56"/>
    </row>
    <row r="76" spans="1:7">
      <c r="A76" s="56"/>
      <c r="B76" s="64"/>
      <c r="C76" s="64"/>
      <c r="D76" s="56"/>
      <c r="E76" s="57"/>
      <c r="F76" s="56"/>
      <c r="G76" s="56"/>
    </row>
    <row r="77" spans="1:7">
      <c r="A77" s="56"/>
      <c r="B77" s="64"/>
      <c r="C77" s="64"/>
      <c r="D77" s="56"/>
      <c r="E77" s="57"/>
      <c r="F77" s="56"/>
      <c r="G77" s="56"/>
    </row>
    <row r="78" spans="1:7">
      <c r="A78" s="56"/>
      <c r="B78" s="64"/>
      <c r="C78" s="64"/>
      <c r="D78" s="56"/>
      <c r="E78" s="57"/>
      <c r="F78" s="56"/>
      <c r="G78" s="56"/>
    </row>
    <row r="79" spans="1:7">
      <c r="A79" s="56"/>
      <c r="B79" s="64"/>
      <c r="C79" s="64"/>
      <c r="D79" s="56"/>
      <c r="E79" s="57"/>
      <c r="F79" s="56"/>
      <c r="G79" s="56"/>
    </row>
    <row r="80" spans="1:7">
      <c r="A80" s="56"/>
      <c r="B80" s="64"/>
      <c r="C80" s="64"/>
      <c r="D80" s="56"/>
      <c r="E80" s="57"/>
      <c r="F80" s="56"/>
      <c r="G80" s="56"/>
    </row>
    <row r="81" spans="1:7">
      <c r="A81" s="56"/>
      <c r="B81" s="64"/>
      <c r="C81" s="64"/>
      <c r="D81" s="56"/>
      <c r="E81" s="57"/>
      <c r="F81" s="56"/>
      <c r="G81" s="56"/>
    </row>
    <row r="82" spans="1:7">
      <c r="A82" s="56"/>
      <c r="B82" s="64"/>
      <c r="C82" s="64"/>
      <c r="D82" s="56"/>
      <c r="E82" s="57"/>
      <c r="F82" s="56"/>
      <c r="G82" s="56"/>
    </row>
    <row r="83" spans="1:7">
      <c r="A83" s="56"/>
      <c r="B83" s="64"/>
      <c r="C83" s="64"/>
      <c r="D83" s="56"/>
      <c r="E83" s="57"/>
      <c r="F83" s="56"/>
      <c r="G83" s="56"/>
    </row>
    <row r="84" spans="1:7">
      <c r="A84" s="56"/>
      <c r="B84" s="64"/>
      <c r="C84" s="64"/>
      <c r="D84" s="56"/>
      <c r="E84" s="57"/>
      <c r="F84" s="56"/>
      <c r="G84" s="56"/>
    </row>
    <row r="85" spans="1:7">
      <c r="A85" s="56"/>
      <c r="B85" s="64"/>
      <c r="C85" s="64"/>
      <c r="D85" s="56"/>
      <c r="E85" s="57"/>
      <c r="F85" s="56"/>
      <c r="G85" s="56"/>
    </row>
    <row r="86" spans="1:7">
      <c r="A86" s="56"/>
      <c r="B86" s="56"/>
      <c r="C86" s="56"/>
      <c r="D86" s="56"/>
      <c r="E86" s="57"/>
      <c r="F86" s="56"/>
      <c r="G86" s="56"/>
    </row>
    <row r="107" spans="6:6">
      <c r="F107" s="56"/>
    </row>
  </sheetData>
  <sheetProtection algorithmName="SHA-512" hashValue="MZrUtja7PJJDBC1B4jwD1l/Vd11nSCw1Immg4b2LVW4Cbn46bR2XSzczeuRm6UGdiQ3ljPyFp1/LgSDPZLisiQ==" saltValue="lXs5ZdypR3R8tD5PrOkg/A==" spinCount="100000" sheet="1" formatCells="0" formatColumns="0" formatRows="0" insertHyperlinks="0"/>
  <mergeCells count="9">
    <mergeCell ref="C74:D74"/>
    <mergeCell ref="C69:D69"/>
    <mergeCell ref="B63:D63"/>
    <mergeCell ref="C68:D68"/>
    <mergeCell ref="C70:D70"/>
    <mergeCell ref="B64:D64"/>
    <mergeCell ref="C65:D65"/>
    <mergeCell ref="C66:D66"/>
    <mergeCell ref="C67:D67"/>
  </mergeCells>
  <dataValidations count="5">
    <dataValidation type="list" allowBlank="1" showInputMessage="1" showErrorMessage="1" sqref="C6:C7" xr:uid="{978B89CE-69C6-4161-A034-AC015DA0075F}">
      <formula1>"1,2,3,?"</formula1>
    </dataValidation>
    <dataValidation type="list" allowBlank="1" showInputMessage="1" showErrorMessage="1" sqref="C3 C4:C5 C8:C37 C39:C51" xr:uid="{A77910E4-8094-445A-B01F-5DFC8D9709A0}">
      <formula1>"y,n,?"</formula1>
    </dataValidation>
    <dataValidation type="list" allowBlank="1" showInputMessage="1" showErrorMessage="1" sqref="C38" xr:uid="{7B5D2DC9-EDC8-46A0-9AF9-27EF244727AD}">
      <formula1>"1 or fewer, 2 or 3, 4 or more,?"</formula1>
    </dataValidation>
    <dataValidation type="list" errorStyle="information" allowBlank="1" showInputMessage="1" showErrorMessage="1" errorTitle="Invalid Entry" error="Make a selection from the drop-down menu, or enter &quot;yes&quot; or &quot;no&quot;. Other entries will not work." sqref="C72 C73 C71:C72" xr:uid="{6E363CE9-056D-45A6-863F-0434A36F596E}">
      <formula1>"yes, no"</formula1>
    </dataValidation>
    <dataValidation type="list" allowBlank="1" showInputMessage="1" showErrorMessage="1" sqref="C70 C68 C69:C72 C67 C66 C65:D65" xr:uid="{7728EFC8-AC11-4E25-B467-7DD30AB392B5}">
      <formula1>"yes, no, ?"</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A408A-7496-40D5-8E67-BFE1B4BFE658}">
  <dimension ref="B1:R54"/>
  <sheetViews>
    <sheetView zoomScaleNormal="100" workbookViewId="0">
      <selection activeCell="O24" sqref="O24"/>
    </sheetView>
  </sheetViews>
  <sheetFormatPr defaultColWidth="8.85546875" defaultRowHeight="15"/>
  <cols>
    <col min="1" max="1" width="6.85546875" customWidth="1"/>
    <col min="8" max="8" width="18.28515625" customWidth="1"/>
  </cols>
  <sheetData>
    <row r="1" spans="2:18" ht="15.95" thickBot="1"/>
    <row r="2" spans="2:18" ht="15.95" thickBot="1">
      <c r="B2" t="s">
        <v>133</v>
      </c>
      <c r="H2" s="117" t="s">
        <v>134</v>
      </c>
      <c r="I2" s="118"/>
      <c r="J2" s="118"/>
      <c r="K2" s="118"/>
      <c r="L2" s="118"/>
      <c r="M2" s="118"/>
      <c r="N2" s="118"/>
      <c r="O2" s="118"/>
      <c r="P2" s="118"/>
      <c r="Q2" s="118"/>
      <c r="R2" s="119"/>
    </row>
    <row r="3" spans="2:18">
      <c r="B3" s="1" t="s">
        <v>114</v>
      </c>
      <c r="C3" s="2" t="s">
        <v>4</v>
      </c>
      <c r="D3" s="2" t="s">
        <v>135</v>
      </c>
      <c r="E3" s="3" t="s">
        <v>136</v>
      </c>
      <c r="H3" s="149" t="s">
        <v>137</v>
      </c>
      <c r="I3" s="150"/>
      <c r="J3" s="150"/>
      <c r="K3" s="150"/>
      <c r="L3" s="150"/>
      <c r="M3" s="150"/>
      <c r="N3" s="150"/>
      <c r="O3" s="150"/>
      <c r="P3" s="150"/>
      <c r="Q3" s="150"/>
      <c r="R3" s="151"/>
    </row>
    <row r="4" spans="2:18">
      <c r="B4" s="4" t="s">
        <v>138</v>
      </c>
      <c r="C4">
        <v>1.01</v>
      </c>
      <c r="D4">
        <v>0</v>
      </c>
      <c r="E4" s="5">
        <v>-3</v>
      </c>
      <c r="H4" s="139" t="s">
        <v>139</v>
      </c>
      <c r="I4" s="140"/>
      <c r="J4" s="140"/>
      <c r="K4" s="140"/>
      <c r="L4" s="140"/>
      <c r="M4" s="140"/>
      <c r="N4" s="140"/>
      <c r="O4" s="140"/>
      <c r="P4" s="140"/>
      <c r="Q4" s="140"/>
      <c r="R4" s="16" t="s">
        <v>140</v>
      </c>
    </row>
    <row r="5" spans="2:18">
      <c r="B5" s="4" t="s">
        <v>119</v>
      </c>
      <c r="C5">
        <v>1.02</v>
      </c>
      <c r="D5">
        <v>-1</v>
      </c>
      <c r="E5" s="5">
        <v>1</v>
      </c>
      <c r="H5" s="139" t="s">
        <v>141</v>
      </c>
      <c r="I5" s="10">
        <v>2.0099999999999998</v>
      </c>
      <c r="J5" s="10">
        <v>1</v>
      </c>
      <c r="K5" s="10">
        <v>1</v>
      </c>
      <c r="L5" s="10">
        <v>1</v>
      </c>
      <c r="M5" s="10">
        <v>2</v>
      </c>
      <c r="N5" s="10">
        <v>2</v>
      </c>
      <c r="O5" s="10">
        <v>2</v>
      </c>
      <c r="P5" s="10">
        <v>3</v>
      </c>
      <c r="Q5" s="10">
        <v>3</v>
      </c>
      <c r="R5" s="11">
        <v>3</v>
      </c>
    </row>
    <row r="6" spans="2:18">
      <c r="B6" s="4" t="s">
        <v>119</v>
      </c>
      <c r="C6">
        <v>1.03</v>
      </c>
      <c r="D6">
        <v>-1</v>
      </c>
      <c r="E6" s="5">
        <v>1</v>
      </c>
      <c r="H6" s="139"/>
      <c r="I6" s="10">
        <v>2.02</v>
      </c>
      <c r="J6" s="10">
        <v>1</v>
      </c>
      <c r="K6" s="10">
        <v>2</v>
      </c>
      <c r="L6" s="10">
        <v>3</v>
      </c>
      <c r="M6" s="10">
        <v>1</v>
      </c>
      <c r="N6" s="10">
        <v>2</v>
      </c>
      <c r="O6" s="10">
        <v>3</v>
      </c>
      <c r="P6" s="10">
        <v>1</v>
      </c>
      <c r="Q6" s="10">
        <v>2</v>
      </c>
      <c r="R6" s="11">
        <v>3</v>
      </c>
    </row>
    <row r="7" spans="2:18">
      <c r="B7" s="4"/>
      <c r="C7">
        <v>2.0099999999999998</v>
      </c>
      <c r="D7" s="127" t="s">
        <v>142</v>
      </c>
      <c r="E7" s="128"/>
      <c r="H7" s="122" t="s">
        <v>143</v>
      </c>
      <c r="I7" s="10">
        <v>3.01</v>
      </c>
      <c r="J7" s="10">
        <v>2</v>
      </c>
      <c r="K7" s="10">
        <v>1</v>
      </c>
      <c r="L7" s="10">
        <v>1</v>
      </c>
      <c r="M7" s="10">
        <v>2</v>
      </c>
      <c r="N7" s="10">
        <v>2</v>
      </c>
      <c r="O7" s="10">
        <v>1</v>
      </c>
      <c r="P7" s="10">
        <v>2</v>
      </c>
      <c r="Q7" s="10">
        <v>2</v>
      </c>
      <c r="R7" s="11">
        <v>2</v>
      </c>
    </row>
    <row r="8" spans="2:18">
      <c r="B8" s="4"/>
      <c r="C8">
        <v>2.02</v>
      </c>
      <c r="D8" s="129"/>
      <c r="E8" s="130"/>
      <c r="H8" s="122"/>
      <c r="I8" s="10">
        <v>3.02</v>
      </c>
      <c r="J8" s="10">
        <v>2</v>
      </c>
      <c r="K8" s="10">
        <v>1</v>
      </c>
      <c r="L8" s="10">
        <v>1</v>
      </c>
      <c r="M8" s="10">
        <v>2</v>
      </c>
      <c r="N8" s="10">
        <v>2</v>
      </c>
      <c r="O8" s="10">
        <v>1</v>
      </c>
      <c r="P8" s="10">
        <v>2</v>
      </c>
      <c r="Q8" s="10">
        <v>2</v>
      </c>
      <c r="R8" s="11">
        <v>2</v>
      </c>
    </row>
    <row r="9" spans="2:18">
      <c r="B9" s="4" t="s">
        <v>119</v>
      </c>
      <c r="C9">
        <v>2.0299999999999998</v>
      </c>
      <c r="D9">
        <v>0</v>
      </c>
      <c r="E9" s="5">
        <v>1</v>
      </c>
      <c r="H9" s="122"/>
      <c r="I9" s="10">
        <v>3.03</v>
      </c>
      <c r="J9" s="10">
        <v>4</v>
      </c>
      <c r="K9" s="10">
        <v>2</v>
      </c>
      <c r="L9" s="10">
        <v>1</v>
      </c>
      <c r="M9" s="10">
        <v>4</v>
      </c>
      <c r="N9" s="10">
        <v>3</v>
      </c>
      <c r="O9" s="10">
        <v>2</v>
      </c>
      <c r="P9" s="10">
        <v>4</v>
      </c>
      <c r="Q9" s="10">
        <v>4</v>
      </c>
      <c r="R9" s="11">
        <v>4</v>
      </c>
    </row>
    <row r="10" spans="2:18">
      <c r="B10" s="4" t="s">
        <v>119</v>
      </c>
      <c r="C10">
        <v>2.04</v>
      </c>
      <c r="D10">
        <v>0</v>
      </c>
      <c r="E10" s="5">
        <v>1</v>
      </c>
      <c r="H10" s="122"/>
      <c r="I10" s="10">
        <v>3.04</v>
      </c>
      <c r="J10" s="10">
        <v>4</v>
      </c>
      <c r="K10" s="10">
        <v>2</v>
      </c>
      <c r="L10" s="10">
        <v>1</v>
      </c>
      <c r="M10" s="10">
        <v>4</v>
      </c>
      <c r="N10" s="10">
        <v>3</v>
      </c>
      <c r="O10" s="10">
        <v>2</v>
      </c>
      <c r="P10" s="10">
        <v>4</v>
      </c>
      <c r="Q10" s="10">
        <v>4</v>
      </c>
      <c r="R10" s="11">
        <v>4</v>
      </c>
    </row>
    <row r="11" spans="2:18">
      <c r="B11" s="4"/>
      <c r="C11">
        <v>2.0499999999999998</v>
      </c>
      <c r="E11" s="5"/>
      <c r="H11" s="122"/>
      <c r="I11" s="10">
        <v>3.05</v>
      </c>
      <c r="J11" s="10">
        <v>2</v>
      </c>
      <c r="K11" s="10">
        <v>1</v>
      </c>
      <c r="L11" s="10">
        <v>1</v>
      </c>
      <c r="M11" s="10">
        <v>2</v>
      </c>
      <c r="N11" s="10">
        <v>2</v>
      </c>
      <c r="O11" s="10">
        <v>1</v>
      </c>
      <c r="P11" s="10">
        <v>2</v>
      </c>
      <c r="Q11" s="10">
        <v>2</v>
      </c>
      <c r="R11" s="11">
        <v>2</v>
      </c>
    </row>
    <row r="12" spans="2:18">
      <c r="B12" s="4" t="s">
        <v>119</v>
      </c>
      <c r="C12">
        <v>3.01</v>
      </c>
      <c r="D12" s="131" t="s">
        <v>144</v>
      </c>
      <c r="E12" s="132"/>
      <c r="H12" s="120" t="s">
        <v>145</v>
      </c>
      <c r="I12" s="121"/>
      <c r="J12" s="121"/>
      <c r="K12" s="121"/>
      <c r="L12" s="121"/>
      <c r="M12" s="121"/>
      <c r="N12" s="121"/>
      <c r="O12" s="121"/>
      <c r="P12" s="121"/>
      <c r="Q12" s="121"/>
      <c r="R12" s="124"/>
    </row>
    <row r="13" spans="2:18">
      <c r="B13" s="4" t="s">
        <v>146</v>
      </c>
      <c r="C13">
        <v>3.02</v>
      </c>
      <c r="D13" s="133"/>
      <c r="E13" s="134"/>
      <c r="H13" s="4" t="s">
        <v>147</v>
      </c>
      <c r="I13" s="10">
        <v>2.0499999999999998</v>
      </c>
      <c r="J13" s="10" t="s">
        <v>22</v>
      </c>
      <c r="K13" s="10" t="s">
        <v>148</v>
      </c>
      <c r="L13" s="10" t="s">
        <v>149</v>
      </c>
      <c r="M13" s="121"/>
      <c r="N13" s="121"/>
      <c r="O13" s="121"/>
      <c r="P13" s="121"/>
      <c r="Q13" s="121"/>
      <c r="R13" s="124"/>
    </row>
    <row r="14" spans="2:18">
      <c r="B14" s="4" t="s">
        <v>117</v>
      </c>
      <c r="C14">
        <v>3.03</v>
      </c>
      <c r="D14" s="133"/>
      <c r="E14" s="134"/>
      <c r="H14" s="122" t="s">
        <v>143</v>
      </c>
      <c r="I14" s="10">
        <v>3.01</v>
      </c>
      <c r="J14" s="10">
        <v>-1</v>
      </c>
      <c r="K14" s="10">
        <v>0</v>
      </c>
      <c r="L14" s="10">
        <v>-2</v>
      </c>
      <c r="M14" s="121"/>
      <c r="N14" s="121"/>
      <c r="O14" s="121"/>
      <c r="P14" s="121"/>
      <c r="Q14" s="121"/>
      <c r="R14" s="124"/>
    </row>
    <row r="15" spans="2:18" ht="15.95" thickBot="1">
      <c r="B15" s="4" t="s">
        <v>146</v>
      </c>
      <c r="C15">
        <v>3.04</v>
      </c>
      <c r="D15" s="133"/>
      <c r="E15" s="134"/>
      <c r="H15" s="123"/>
      <c r="I15" s="13" t="s">
        <v>150</v>
      </c>
      <c r="J15" s="13">
        <v>0</v>
      </c>
      <c r="K15" s="13">
        <v>0</v>
      </c>
      <c r="L15" s="13">
        <v>0</v>
      </c>
      <c r="M15" s="125"/>
      <c r="N15" s="125"/>
      <c r="O15" s="125"/>
      <c r="P15" s="125"/>
      <c r="Q15" s="125"/>
      <c r="R15" s="126"/>
    </row>
    <row r="16" spans="2:18">
      <c r="B16" s="4" t="s">
        <v>119</v>
      </c>
      <c r="C16">
        <v>3.05</v>
      </c>
      <c r="D16" s="135"/>
      <c r="E16" s="136"/>
    </row>
    <row r="17" spans="2:11">
      <c r="B17" s="4" t="s">
        <v>151</v>
      </c>
      <c r="C17">
        <v>4.01</v>
      </c>
      <c r="D17">
        <v>0</v>
      </c>
      <c r="E17" s="5">
        <v>1</v>
      </c>
    </row>
    <row r="18" spans="2:11" ht="15.95" thickBot="1">
      <c r="B18" s="4" t="s">
        <v>119</v>
      </c>
      <c r="C18">
        <v>4.0199999999999996</v>
      </c>
      <c r="D18">
        <v>0</v>
      </c>
      <c r="E18" s="5">
        <v>1</v>
      </c>
    </row>
    <row r="19" spans="2:11">
      <c r="B19" s="4" t="s">
        <v>119</v>
      </c>
      <c r="C19">
        <v>4.03</v>
      </c>
      <c r="D19">
        <v>0</v>
      </c>
      <c r="E19" s="5">
        <v>1</v>
      </c>
      <c r="H19" s="117" t="s">
        <v>152</v>
      </c>
      <c r="I19" s="118"/>
      <c r="J19" s="118"/>
      <c r="K19" s="119"/>
    </row>
    <row r="20" spans="2:11">
      <c r="B20" s="4" t="s">
        <v>117</v>
      </c>
      <c r="C20">
        <v>4.04</v>
      </c>
      <c r="D20">
        <v>-1</v>
      </c>
      <c r="E20" s="5">
        <v>1</v>
      </c>
      <c r="H20" s="4" t="s">
        <v>153</v>
      </c>
      <c r="I20" s="12">
        <v>1</v>
      </c>
      <c r="J20" s="12">
        <v>2</v>
      </c>
      <c r="K20" s="9">
        <v>4</v>
      </c>
    </row>
    <row r="21" spans="2:11" ht="15.95" thickBot="1">
      <c r="B21" s="4" t="s">
        <v>119</v>
      </c>
      <c r="C21">
        <v>4.05</v>
      </c>
      <c r="D21">
        <v>0</v>
      </c>
      <c r="E21" s="5">
        <v>1</v>
      </c>
      <c r="H21" s="6" t="s">
        <v>6</v>
      </c>
      <c r="I21" s="14">
        <v>1</v>
      </c>
      <c r="J21" s="14">
        <v>0</v>
      </c>
      <c r="K21" s="15">
        <v>-1</v>
      </c>
    </row>
    <row r="22" spans="2:11">
      <c r="B22" s="4" t="s">
        <v>119</v>
      </c>
      <c r="C22">
        <v>4.0599999999999996</v>
      </c>
      <c r="D22">
        <v>0</v>
      </c>
      <c r="E22" s="5">
        <v>1</v>
      </c>
    </row>
    <row r="23" spans="2:11">
      <c r="B23" s="4" t="s">
        <v>119</v>
      </c>
      <c r="C23">
        <v>4.07</v>
      </c>
      <c r="D23">
        <v>0</v>
      </c>
      <c r="E23" s="5">
        <v>1</v>
      </c>
    </row>
    <row r="24" spans="2:11" ht="15.95" thickBot="1">
      <c r="B24" s="4" t="s">
        <v>146</v>
      </c>
      <c r="C24">
        <v>4.08</v>
      </c>
      <c r="D24">
        <v>0</v>
      </c>
      <c r="E24" s="5">
        <v>1</v>
      </c>
    </row>
    <row r="25" spans="2:11">
      <c r="B25" s="4" t="s">
        <v>146</v>
      </c>
      <c r="C25">
        <v>4.09</v>
      </c>
      <c r="D25">
        <v>0</v>
      </c>
      <c r="E25" s="5">
        <v>1</v>
      </c>
      <c r="H25" s="141" t="s">
        <v>154</v>
      </c>
      <c r="I25" s="142"/>
      <c r="J25" s="142"/>
      <c r="K25" s="143"/>
    </row>
    <row r="26" spans="2:11">
      <c r="B26" s="4" t="s">
        <v>146</v>
      </c>
      <c r="C26">
        <v>4.0999999999999996</v>
      </c>
      <c r="D26">
        <v>0</v>
      </c>
      <c r="E26" s="5">
        <v>1</v>
      </c>
      <c r="H26" s="95" t="s">
        <v>155</v>
      </c>
      <c r="I26" s="152" t="str">
        <f>IF(OR('WRA Worksheet'!C65="?",'WRA Worksheet'!C66="?",'WRA Worksheet'!C67="?",'WRA Worksheet'!C67="no"),"eval.",IF(AND('WRA Worksheet'!C65="yes",'WRA Worksheet'!C66="yes",'WRA Worksheet'!C67="yes"),"reject",IF(OR('WRA Worksheet'!C65="no",'WRA Worksheet'!C66="no"),"accept","")))</f>
        <v/>
      </c>
      <c r="J26" s="152"/>
      <c r="K26" s="153"/>
    </row>
    <row r="27" spans="2:11" ht="15.95" thickBot="1">
      <c r="B27" s="4" t="s">
        <v>146</v>
      </c>
      <c r="C27">
        <v>4.1100000000000003</v>
      </c>
      <c r="D27">
        <v>0</v>
      </c>
      <c r="E27" s="5">
        <v>1</v>
      </c>
      <c r="H27" s="96" t="s">
        <v>156</v>
      </c>
      <c r="I27" s="154" t="str">
        <f>IF('WRA Worksheet'!C68="no","accept",IF(AND('WRA Worksheet'!C68="yes",OR('WRA Worksheet'!C69="yes",'WRA Worksheet'!C70="yes")),"reject",IF(OR('WRA Worksheet'!C68="?",'WRA Worksheet'!C69="?",'WRA Worksheet'!C70="?",'WRA Worksheet'!C69="no",'WRA Worksheet'!C70="no"),"eval.","")))</f>
        <v/>
      </c>
      <c r="J27" s="154"/>
      <c r="K27" s="155"/>
    </row>
    <row r="28" spans="2:11">
      <c r="B28" s="4" t="s">
        <v>119</v>
      </c>
      <c r="C28">
        <v>4.12</v>
      </c>
      <c r="D28">
        <v>0</v>
      </c>
      <c r="E28" s="5">
        <v>1</v>
      </c>
    </row>
    <row r="29" spans="2:11">
      <c r="B29" s="4" t="s">
        <v>157</v>
      </c>
      <c r="C29">
        <v>5.01</v>
      </c>
      <c r="D29">
        <v>0</v>
      </c>
      <c r="E29" s="5">
        <v>5</v>
      </c>
    </row>
    <row r="30" spans="2:11">
      <c r="B30" s="4" t="s">
        <v>119</v>
      </c>
      <c r="C30">
        <v>5.0199999999999996</v>
      </c>
      <c r="D30">
        <v>0</v>
      </c>
      <c r="E30" s="5">
        <v>1</v>
      </c>
    </row>
    <row r="31" spans="2:11">
      <c r="B31" s="4" t="s">
        <v>146</v>
      </c>
      <c r="C31">
        <v>5.03</v>
      </c>
      <c r="D31">
        <v>0</v>
      </c>
      <c r="E31" s="5">
        <v>1</v>
      </c>
    </row>
    <row r="32" spans="2:11">
      <c r="B32" s="4" t="s">
        <v>119</v>
      </c>
      <c r="C32">
        <v>5.04</v>
      </c>
      <c r="D32">
        <v>0</v>
      </c>
      <c r="E32" s="5">
        <v>1</v>
      </c>
    </row>
    <row r="33" spans="2:5">
      <c r="B33" s="4" t="s">
        <v>119</v>
      </c>
      <c r="C33">
        <v>6.01</v>
      </c>
      <c r="D33">
        <v>0</v>
      </c>
      <c r="E33" s="5">
        <v>1</v>
      </c>
    </row>
    <row r="34" spans="2:5">
      <c r="B34" s="4" t="s">
        <v>119</v>
      </c>
      <c r="C34">
        <v>6.02</v>
      </c>
      <c r="D34">
        <v>-1</v>
      </c>
      <c r="E34" s="5">
        <v>1</v>
      </c>
    </row>
    <row r="35" spans="2:5">
      <c r="B35" s="4" t="s">
        <v>117</v>
      </c>
      <c r="C35">
        <v>6.03</v>
      </c>
      <c r="D35">
        <v>-1</v>
      </c>
      <c r="E35" s="5">
        <v>1</v>
      </c>
    </row>
    <row r="36" spans="2:5">
      <c r="B36" s="4" t="s">
        <v>119</v>
      </c>
      <c r="C36">
        <v>6.04</v>
      </c>
      <c r="D36">
        <v>-1</v>
      </c>
      <c r="E36" s="5">
        <v>1</v>
      </c>
    </row>
    <row r="37" spans="2:5">
      <c r="B37" s="4" t="s">
        <v>119</v>
      </c>
      <c r="C37">
        <v>6.05</v>
      </c>
      <c r="D37">
        <v>0</v>
      </c>
      <c r="E37" s="5">
        <v>-1</v>
      </c>
    </row>
    <row r="38" spans="2:5">
      <c r="B38" s="4" t="s">
        <v>117</v>
      </c>
      <c r="C38">
        <v>6.06</v>
      </c>
      <c r="D38">
        <v>-1</v>
      </c>
      <c r="E38" s="5">
        <v>1</v>
      </c>
    </row>
    <row r="39" spans="2:5">
      <c r="B39" s="4" t="s">
        <v>119</v>
      </c>
      <c r="C39">
        <v>6.07</v>
      </c>
      <c r="D39" s="137" t="s">
        <v>158</v>
      </c>
      <c r="E39" s="138"/>
    </row>
    <row r="40" spans="2:5">
      <c r="B40" s="4" t="s">
        <v>117</v>
      </c>
      <c r="C40">
        <v>7.01</v>
      </c>
      <c r="D40">
        <v>-1</v>
      </c>
      <c r="E40" s="5">
        <v>1</v>
      </c>
    </row>
    <row r="41" spans="2:5">
      <c r="B41" s="4" t="s">
        <v>119</v>
      </c>
      <c r="C41">
        <v>7.02</v>
      </c>
      <c r="D41">
        <v>-1</v>
      </c>
      <c r="E41" s="5">
        <v>1</v>
      </c>
    </row>
    <row r="42" spans="2:5">
      <c r="B42" s="4" t="s">
        <v>117</v>
      </c>
      <c r="C42">
        <v>7.03</v>
      </c>
      <c r="D42">
        <v>-1</v>
      </c>
      <c r="E42" s="5">
        <v>1</v>
      </c>
    </row>
    <row r="43" spans="2:5">
      <c r="B43" s="4" t="s">
        <v>119</v>
      </c>
      <c r="C43">
        <v>7.04</v>
      </c>
      <c r="D43">
        <v>-1</v>
      </c>
      <c r="E43" s="5">
        <v>1</v>
      </c>
    </row>
    <row r="44" spans="2:5">
      <c r="B44" s="4" t="s">
        <v>146</v>
      </c>
      <c r="C44">
        <v>7.05</v>
      </c>
      <c r="D44">
        <v>-1</v>
      </c>
      <c r="E44" s="5">
        <v>1</v>
      </c>
    </row>
    <row r="45" spans="2:5">
      <c r="B45" s="4" t="s">
        <v>146</v>
      </c>
      <c r="C45">
        <v>7.06</v>
      </c>
      <c r="D45">
        <v>-1</v>
      </c>
      <c r="E45" s="5">
        <v>1</v>
      </c>
    </row>
    <row r="46" spans="2:5">
      <c r="B46" s="4" t="s">
        <v>119</v>
      </c>
      <c r="C46">
        <v>7.07</v>
      </c>
      <c r="D46">
        <v>-1</v>
      </c>
      <c r="E46" s="5">
        <v>1</v>
      </c>
    </row>
    <row r="47" spans="2:5">
      <c r="B47" s="4" t="s">
        <v>119</v>
      </c>
      <c r="C47">
        <v>7.08</v>
      </c>
      <c r="D47">
        <v>-1</v>
      </c>
      <c r="E47" s="5">
        <v>1</v>
      </c>
    </row>
    <row r="48" spans="2:5">
      <c r="B48" s="4" t="s">
        <v>119</v>
      </c>
      <c r="C48">
        <v>8.01</v>
      </c>
      <c r="D48">
        <v>-1</v>
      </c>
      <c r="E48" s="5">
        <v>1</v>
      </c>
    </row>
    <row r="49" spans="2:5">
      <c r="B49" s="4" t="s">
        <v>119</v>
      </c>
      <c r="C49">
        <v>8.02</v>
      </c>
      <c r="D49">
        <v>-1</v>
      </c>
      <c r="E49" s="5">
        <v>1</v>
      </c>
    </row>
    <row r="50" spans="2:5">
      <c r="B50" s="4" t="s">
        <v>117</v>
      </c>
      <c r="C50">
        <v>8.0299999999999994</v>
      </c>
      <c r="D50">
        <v>1</v>
      </c>
      <c r="E50" s="5">
        <v>-1</v>
      </c>
    </row>
    <row r="51" spans="2:5">
      <c r="B51" s="4" t="s">
        <v>117</v>
      </c>
      <c r="C51">
        <v>8.0399999999999991</v>
      </c>
      <c r="D51">
        <v>-1</v>
      </c>
      <c r="E51" s="5">
        <v>1</v>
      </c>
    </row>
    <row r="52" spans="2:5">
      <c r="B52" s="4" t="s">
        <v>119</v>
      </c>
      <c r="C52">
        <v>8.0500000000000007</v>
      </c>
      <c r="D52">
        <v>1</v>
      </c>
      <c r="E52" s="5">
        <v>-1</v>
      </c>
    </row>
    <row r="53" spans="2:5">
      <c r="B53" s="4"/>
      <c r="E53" s="5"/>
    </row>
    <row r="54" spans="2:5" ht="15.95" thickBot="1">
      <c r="B54" s="6"/>
      <c r="C54" s="7"/>
      <c r="D54" s="7"/>
      <c r="E54" s="8"/>
    </row>
  </sheetData>
  <sheetProtection algorithmName="SHA-512" hashValue="0mtPXeV4RFX+M/sGdOGKeuK5NWlJbk/75EF/Z/DHrnEM9OlRwDreGoshUwzHDRLvA3A9Y2G+zbNh26ykXbCpNg==" saltValue="1/xWeOpxhY5vxCpyg9dG1A==" spinCount="100000" sheet="1" objects="1" scenarios="1"/>
  <mergeCells count="15">
    <mergeCell ref="D7:E8"/>
    <mergeCell ref="D12:E16"/>
    <mergeCell ref="D39:E39"/>
    <mergeCell ref="H3:R3"/>
    <mergeCell ref="H4:Q4"/>
    <mergeCell ref="H5:H6"/>
    <mergeCell ref="H7:H11"/>
    <mergeCell ref="H25:K25"/>
    <mergeCell ref="I26:K26"/>
    <mergeCell ref="I27:K27"/>
    <mergeCell ref="H2:R2"/>
    <mergeCell ref="H12:L12"/>
    <mergeCell ref="H14:H15"/>
    <mergeCell ref="M12:R15"/>
    <mergeCell ref="H19:K1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9724D-15DB-4E0F-87F1-EE2DC5DF0787}">
  <dimension ref="A1:D61"/>
  <sheetViews>
    <sheetView workbookViewId="0">
      <selection activeCell="G1" sqref="G1"/>
    </sheetView>
  </sheetViews>
  <sheetFormatPr defaultColWidth="8.85546875" defaultRowHeight="15"/>
  <cols>
    <col min="1" max="1" width="7.140625" customWidth="1"/>
    <col min="2" max="2" width="64.42578125" customWidth="1"/>
  </cols>
  <sheetData>
    <row r="1" spans="1:4" ht="109.5" customHeight="1">
      <c r="A1" s="147" t="str">
        <f>'WRA Worksheet'!F1</f>
        <v>Assessment date: May 1, 2025  Prepared by Seokmin Kim</v>
      </c>
      <c r="B1" s="148"/>
      <c r="C1" s="148"/>
      <c r="D1" s="98" t="s">
        <v>159</v>
      </c>
    </row>
    <row r="2" spans="1:4" ht="18.95">
      <c r="A2" s="144" t="s">
        <v>160</v>
      </c>
      <c r="B2" s="145"/>
      <c r="C2" s="73" t="s">
        <v>5</v>
      </c>
      <c r="D2" s="73" t="s">
        <v>6</v>
      </c>
    </row>
    <row r="3" spans="1:4" ht="15.95">
      <c r="A3" s="74">
        <v>1.01</v>
      </c>
      <c r="B3" s="75" t="s">
        <v>10</v>
      </c>
      <c r="C3" s="76" t="str">
        <f>'WRA Worksheet'!C3</f>
        <v>n</v>
      </c>
      <c r="D3" s="82">
        <f>'WRA Worksheet'!D3</f>
        <v>0</v>
      </c>
    </row>
    <row r="4" spans="1:4" ht="15.95">
      <c r="A4" s="74">
        <v>1.02</v>
      </c>
      <c r="B4" s="75" t="s">
        <v>13</v>
      </c>
      <c r="C4" s="76">
        <f>'WRA Worksheet'!C4</f>
        <v>0</v>
      </c>
      <c r="D4" s="82" t="str">
        <f>'WRA Worksheet'!D4</f>
        <v xml:space="preserve"> </v>
      </c>
    </row>
    <row r="5" spans="1:4" ht="15.95">
      <c r="A5" s="74">
        <v>1.03</v>
      </c>
      <c r="B5" s="75" t="s">
        <v>14</v>
      </c>
      <c r="C5" s="76">
        <f>'WRA Worksheet'!C5</f>
        <v>0</v>
      </c>
      <c r="D5" s="82" t="str">
        <f>'WRA Worksheet'!D5</f>
        <v xml:space="preserve"> </v>
      </c>
    </row>
    <row r="6" spans="1:4" ht="51.95">
      <c r="A6" s="74">
        <v>2.0099999999999998</v>
      </c>
      <c r="B6" s="77" t="s">
        <v>161</v>
      </c>
      <c r="C6" s="76">
        <f>'WRA Worksheet'!C6</f>
        <v>2</v>
      </c>
      <c r="D6" s="83"/>
    </row>
    <row r="7" spans="1:4" ht="15.95">
      <c r="A7" s="74">
        <v>2.02</v>
      </c>
      <c r="B7" s="75" t="s">
        <v>162</v>
      </c>
      <c r="C7" s="76">
        <f>'WRA Worksheet'!C7</f>
        <v>2</v>
      </c>
      <c r="D7" s="83"/>
    </row>
    <row r="8" spans="1:4" ht="15.95">
      <c r="A8" s="74">
        <v>2.0299999999999998</v>
      </c>
      <c r="B8" s="75" t="s">
        <v>18</v>
      </c>
      <c r="C8" s="76" t="str">
        <f>'WRA Worksheet'!C8</f>
        <v>n</v>
      </c>
      <c r="D8" s="82">
        <f>'WRA Worksheet'!D8</f>
        <v>0</v>
      </c>
    </row>
    <row r="9" spans="1:4" ht="51.95">
      <c r="A9" s="74">
        <v>2.04</v>
      </c>
      <c r="B9" s="78" t="s">
        <v>19</v>
      </c>
      <c r="C9" s="76" t="str">
        <f>'WRA Worksheet'!C9</f>
        <v>y</v>
      </c>
      <c r="D9" s="82">
        <f>'WRA Worksheet'!D9</f>
        <v>1</v>
      </c>
    </row>
    <row r="10" spans="1:4" ht="32.1">
      <c r="A10" s="74">
        <v>2.0499999999999998</v>
      </c>
      <c r="B10" s="75" t="s">
        <v>21</v>
      </c>
      <c r="C10" s="79" t="str">
        <f>'WRA Worksheet'!C10</f>
        <v>?</v>
      </c>
      <c r="D10" s="83"/>
    </row>
    <row r="11" spans="1:4" ht="15.95">
      <c r="A11" s="74">
        <v>3.01</v>
      </c>
      <c r="B11" s="75" t="s">
        <v>25</v>
      </c>
      <c r="C11" s="76" t="str">
        <f>'WRA Worksheet'!C11</f>
        <v>y</v>
      </c>
      <c r="D11" s="82">
        <f>'WRA Worksheet'!D11</f>
        <v>2</v>
      </c>
    </row>
    <row r="12" spans="1:4" ht="15.95">
      <c r="A12" s="74">
        <v>3.02</v>
      </c>
      <c r="B12" s="75" t="s">
        <v>28</v>
      </c>
      <c r="C12" s="76" t="str">
        <f>'WRA Worksheet'!C12</f>
        <v>?</v>
      </c>
      <c r="D12" s="82" t="str">
        <f>'WRA Worksheet'!D12</f>
        <v/>
      </c>
    </row>
    <row r="13" spans="1:4" ht="15.95">
      <c r="A13" s="74">
        <v>3.03</v>
      </c>
      <c r="B13" s="75" t="s">
        <v>31</v>
      </c>
      <c r="C13" s="76" t="str">
        <f>'WRA Worksheet'!C13</f>
        <v>y</v>
      </c>
      <c r="D13" s="82">
        <f>'WRA Worksheet'!D13</f>
        <v>3</v>
      </c>
    </row>
    <row r="14" spans="1:4" ht="15.95">
      <c r="A14" s="74">
        <v>3.04</v>
      </c>
      <c r="B14" s="75" t="s">
        <v>34</v>
      </c>
      <c r="C14" s="76" t="str">
        <f>'WRA Worksheet'!C14</f>
        <v>?</v>
      </c>
      <c r="D14" s="82" t="str">
        <f>'WRA Worksheet'!D14</f>
        <v/>
      </c>
    </row>
    <row r="15" spans="1:4" ht="15.95">
      <c r="A15" s="74">
        <v>3.05</v>
      </c>
      <c r="B15" s="75" t="s">
        <v>37</v>
      </c>
      <c r="C15" s="76" t="str">
        <f>'WRA Worksheet'!C15</f>
        <v>y</v>
      </c>
      <c r="D15" s="82">
        <f>'WRA Worksheet'!D15</f>
        <v>2</v>
      </c>
    </row>
    <row r="16" spans="1:4" ht="15.95">
      <c r="A16" s="74">
        <v>4.01</v>
      </c>
      <c r="B16" s="75" t="s">
        <v>40</v>
      </c>
      <c r="C16" s="76" t="str">
        <f>'WRA Worksheet'!C16</f>
        <v>n</v>
      </c>
      <c r="D16" s="82">
        <f>'WRA Worksheet'!D16</f>
        <v>0</v>
      </c>
    </row>
    <row r="17" spans="1:4" ht="15.95">
      <c r="A17" s="74">
        <v>4.0199999999999996</v>
      </c>
      <c r="B17" s="75" t="s">
        <v>41</v>
      </c>
      <c r="C17" s="76" t="str">
        <f>'WRA Worksheet'!C17</f>
        <v>?</v>
      </c>
      <c r="D17" s="82" t="str">
        <f>'WRA Worksheet'!D17</f>
        <v xml:space="preserve"> </v>
      </c>
    </row>
    <row r="18" spans="1:4" ht="15.95">
      <c r="A18" s="74">
        <v>4.03</v>
      </c>
      <c r="B18" s="75" t="s">
        <v>44</v>
      </c>
      <c r="C18" s="76" t="str">
        <f>'WRA Worksheet'!C18</f>
        <v>n</v>
      </c>
      <c r="D18" s="82">
        <f>'WRA Worksheet'!D18</f>
        <v>0</v>
      </c>
    </row>
    <row r="19" spans="1:4" ht="15.95">
      <c r="A19" s="74">
        <v>4.04</v>
      </c>
      <c r="B19" s="75" t="s">
        <v>45</v>
      </c>
      <c r="C19" s="76" t="str">
        <f>'WRA Worksheet'!C19</f>
        <v>n</v>
      </c>
      <c r="D19" s="82">
        <f>'WRA Worksheet'!D19</f>
        <v>-1</v>
      </c>
    </row>
    <row r="20" spans="1:4" ht="15.95">
      <c r="A20" s="74">
        <v>4.05</v>
      </c>
      <c r="B20" s="75" t="s">
        <v>47</v>
      </c>
      <c r="C20" s="76" t="str">
        <f>'WRA Worksheet'!C20</f>
        <v>y</v>
      </c>
      <c r="D20" s="82">
        <f>'WRA Worksheet'!D20</f>
        <v>1</v>
      </c>
    </row>
    <row r="21" spans="1:4" ht="15.95">
      <c r="A21" s="74">
        <v>4.0599999999999996</v>
      </c>
      <c r="B21" s="75" t="s">
        <v>48</v>
      </c>
      <c r="C21" s="76" t="str">
        <f>'WRA Worksheet'!C21</f>
        <v>?</v>
      </c>
      <c r="D21" s="82" t="str">
        <f>'WRA Worksheet'!D21</f>
        <v xml:space="preserve"> </v>
      </c>
    </row>
    <row r="22" spans="1:4" ht="15.95">
      <c r="A22" s="74">
        <v>4.07</v>
      </c>
      <c r="B22" s="75" t="s">
        <v>50</v>
      </c>
      <c r="C22" s="76" t="str">
        <f>'WRA Worksheet'!C22</f>
        <v>?</v>
      </c>
      <c r="D22" s="82" t="str">
        <f>'WRA Worksheet'!D22</f>
        <v xml:space="preserve"> </v>
      </c>
    </row>
    <row r="23" spans="1:4" ht="15.95">
      <c r="A23" s="74">
        <v>4.08</v>
      </c>
      <c r="B23" s="75" t="s">
        <v>53</v>
      </c>
      <c r="C23" s="76" t="str">
        <f>'WRA Worksheet'!C23</f>
        <v>?</v>
      </c>
      <c r="D23" s="82" t="str">
        <f>'WRA Worksheet'!D23</f>
        <v xml:space="preserve"> </v>
      </c>
    </row>
    <row r="24" spans="1:4" ht="15.95">
      <c r="A24" s="74">
        <v>4.09</v>
      </c>
      <c r="B24" s="75" t="s">
        <v>54</v>
      </c>
      <c r="C24" s="76" t="str">
        <f>'WRA Worksheet'!C24</f>
        <v>y</v>
      </c>
      <c r="D24" s="82">
        <f>'WRA Worksheet'!D24</f>
        <v>1</v>
      </c>
    </row>
    <row r="25" spans="1:4" ht="32.1">
      <c r="A25" s="74">
        <v>4.0999999999999996</v>
      </c>
      <c r="B25" s="80" t="s">
        <v>57</v>
      </c>
      <c r="C25" s="76" t="str">
        <f>'WRA Worksheet'!C25</f>
        <v>y</v>
      </c>
      <c r="D25" s="82">
        <f>'WRA Worksheet'!D25</f>
        <v>1</v>
      </c>
    </row>
    <row r="26" spans="1:4" ht="15.95">
      <c r="A26" s="74">
        <v>4.1100000000000003</v>
      </c>
      <c r="B26" s="75" t="s">
        <v>60</v>
      </c>
      <c r="C26" s="76" t="str">
        <f>'WRA Worksheet'!C26</f>
        <v>y</v>
      </c>
      <c r="D26" s="82">
        <f>'WRA Worksheet'!D26</f>
        <v>1</v>
      </c>
    </row>
    <row r="27" spans="1:4" ht="15.95">
      <c r="A27" s="74">
        <v>4.12</v>
      </c>
      <c r="B27" s="75" t="s">
        <v>62</v>
      </c>
      <c r="C27" s="76" t="str">
        <f>'WRA Worksheet'!C27</f>
        <v>n</v>
      </c>
      <c r="D27" s="82">
        <f>'WRA Worksheet'!D27</f>
        <v>0</v>
      </c>
    </row>
    <row r="28" spans="1:4" ht="15.95">
      <c r="A28" s="74">
        <v>5.01</v>
      </c>
      <c r="B28" s="75" t="s">
        <v>63</v>
      </c>
      <c r="C28" s="76" t="str">
        <f>'WRA Worksheet'!C28</f>
        <v>n</v>
      </c>
      <c r="D28" s="82">
        <f>'WRA Worksheet'!D28</f>
        <v>0</v>
      </c>
    </row>
    <row r="29" spans="1:4" ht="15.95">
      <c r="A29" s="74">
        <v>5.0199999999999996</v>
      </c>
      <c r="B29" s="75" t="s">
        <v>64</v>
      </c>
      <c r="C29" s="76" t="str">
        <f>'WRA Worksheet'!C29</f>
        <v>n</v>
      </c>
      <c r="D29" s="82">
        <f>'WRA Worksheet'!D29</f>
        <v>0</v>
      </c>
    </row>
    <row r="30" spans="1:4" ht="15.95">
      <c r="A30" s="74">
        <v>5.03</v>
      </c>
      <c r="B30" s="75" t="s">
        <v>66</v>
      </c>
      <c r="C30" s="76" t="str">
        <f>'WRA Worksheet'!C30</f>
        <v>n</v>
      </c>
      <c r="D30" s="82">
        <f>'WRA Worksheet'!D30</f>
        <v>0</v>
      </c>
    </row>
    <row r="31" spans="1:4" ht="15.95">
      <c r="A31" s="74">
        <v>5.04</v>
      </c>
      <c r="B31" s="75" t="s">
        <v>67</v>
      </c>
      <c r="C31" s="76" t="str">
        <f>'WRA Worksheet'!C31</f>
        <v>n</v>
      </c>
      <c r="D31" s="82">
        <f>'WRA Worksheet'!D31</f>
        <v>0</v>
      </c>
    </row>
    <row r="32" spans="1:4" ht="15.95">
      <c r="A32" s="74">
        <v>6.01</v>
      </c>
      <c r="B32" s="75" t="s">
        <v>70</v>
      </c>
      <c r="C32" s="76" t="str">
        <f>'WRA Worksheet'!C32</f>
        <v>n</v>
      </c>
      <c r="D32" s="82">
        <f>'WRA Worksheet'!D32</f>
        <v>0</v>
      </c>
    </row>
    <row r="33" spans="1:4" ht="15.95">
      <c r="A33" s="74">
        <v>6.02</v>
      </c>
      <c r="B33" s="75" t="s">
        <v>71</v>
      </c>
      <c r="C33" s="76" t="str">
        <f>'WRA Worksheet'!C33</f>
        <v>y</v>
      </c>
      <c r="D33" s="82">
        <f>'WRA Worksheet'!D33</f>
        <v>1</v>
      </c>
    </row>
    <row r="34" spans="1:4" ht="15.95">
      <c r="A34" s="74">
        <v>6.03</v>
      </c>
      <c r="B34" s="75" t="s">
        <v>74</v>
      </c>
      <c r="C34" s="76" t="str">
        <f>'WRA Worksheet'!C34</f>
        <v>n</v>
      </c>
      <c r="D34" s="82">
        <f>'WRA Worksheet'!D34</f>
        <v>-1</v>
      </c>
    </row>
    <row r="35" spans="1:4" ht="15.95">
      <c r="A35" s="74">
        <v>6.04</v>
      </c>
      <c r="B35" s="75" t="s">
        <v>77</v>
      </c>
      <c r="C35" s="76" t="str">
        <f>'WRA Worksheet'!C35</f>
        <v>n</v>
      </c>
      <c r="D35" s="82">
        <f>'WRA Worksheet'!D35</f>
        <v>-1</v>
      </c>
    </row>
    <row r="36" spans="1:4" ht="15.95">
      <c r="A36" s="74">
        <v>6.05</v>
      </c>
      <c r="B36" s="75" t="s">
        <v>80</v>
      </c>
      <c r="C36" s="76" t="str">
        <f>'WRA Worksheet'!C36</f>
        <v>n</v>
      </c>
      <c r="D36" s="82">
        <f>'WRA Worksheet'!D36</f>
        <v>0</v>
      </c>
    </row>
    <row r="37" spans="1:4" ht="15.95">
      <c r="A37" s="74">
        <v>6.06</v>
      </c>
      <c r="B37" s="75" t="s">
        <v>83</v>
      </c>
      <c r="C37" s="76" t="str">
        <f>'WRA Worksheet'!C37</f>
        <v>y</v>
      </c>
      <c r="D37" s="82">
        <f>'WRA Worksheet'!D37</f>
        <v>1</v>
      </c>
    </row>
    <row r="38" spans="1:4" ht="15.95">
      <c r="A38" s="74">
        <v>6.07</v>
      </c>
      <c r="B38" s="75" t="s">
        <v>86</v>
      </c>
      <c r="C38" s="81" t="str">
        <f>'WRA Worksheet'!C38</f>
        <v>?</v>
      </c>
      <c r="D38" s="82" t="str">
        <f>'WRA Worksheet'!D38</f>
        <v xml:space="preserve"> </v>
      </c>
    </row>
    <row r="39" spans="1:4" ht="32.1">
      <c r="A39" s="74">
        <v>7.01</v>
      </c>
      <c r="B39" s="75" t="s">
        <v>87</v>
      </c>
      <c r="C39" s="76" t="str">
        <f>'WRA Worksheet'!C39</f>
        <v>?</v>
      </c>
      <c r="D39" s="82" t="str">
        <f>'WRA Worksheet'!D39</f>
        <v xml:space="preserve"> </v>
      </c>
    </row>
    <row r="40" spans="1:4" ht="15.95">
      <c r="A40" s="74">
        <v>7.02</v>
      </c>
      <c r="B40" s="75" t="s">
        <v>89</v>
      </c>
      <c r="C40" s="76" t="str">
        <f>'WRA Worksheet'!C40</f>
        <v>y</v>
      </c>
      <c r="D40" s="82">
        <f>'WRA Worksheet'!D40</f>
        <v>1</v>
      </c>
    </row>
    <row r="41" spans="1:4" ht="15.95">
      <c r="A41" s="74">
        <v>7.03</v>
      </c>
      <c r="B41" s="75" t="s">
        <v>92</v>
      </c>
      <c r="C41" s="76" t="str">
        <f>'WRA Worksheet'!C41</f>
        <v>n</v>
      </c>
      <c r="D41" s="82">
        <f>'WRA Worksheet'!D41</f>
        <v>-1</v>
      </c>
    </row>
    <row r="42" spans="1:4" ht="15.95">
      <c r="A42" s="74">
        <v>7.04</v>
      </c>
      <c r="B42" s="75" t="s">
        <v>93</v>
      </c>
      <c r="C42" s="76" t="str">
        <f>'WRA Worksheet'!C42</f>
        <v>n</v>
      </c>
      <c r="D42" s="82">
        <f>'WRA Worksheet'!D42</f>
        <v>-1</v>
      </c>
    </row>
    <row r="43" spans="1:4" ht="15.95">
      <c r="A43" s="74">
        <v>7.05</v>
      </c>
      <c r="B43" s="75" t="s">
        <v>94</v>
      </c>
      <c r="C43" s="76" t="str">
        <f>'WRA Worksheet'!C43</f>
        <v>?</v>
      </c>
      <c r="D43" s="82" t="str">
        <f>'WRA Worksheet'!D43</f>
        <v xml:space="preserve"> </v>
      </c>
    </row>
    <row r="44" spans="1:4" ht="15.95">
      <c r="A44" s="74">
        <v>7.06</v>
      </c>
      <c r="B44" s="75" t="s">
        <v>96</v>
      </c>
      <c r="C44" s="76" t="str">
        <f>'WRA Worksheet'!C44</f>
        <v>n</v>
      </c>
      <c r="D44" s="82">
        <f>'WRA Worksheet'!D44</f>
        <v>-1</v>
      </c>
    </row>
    <row r="45" spans="1:4" ht="15.95">
      <c r="A45" s="74">
        <v>7.07</v>
      </c>
      <c r="B45" s="75" t="s">
        <v>98</v>
      </c>
      <c r="C45" s="76" t="str">
        <f>'WRA Worksheet'!C45</f>
        <v>?</v>
      </c>
      <c r="D45" s="82" t="str">
        <f>'WRA Worksheet'!D45</f>
        <v xml:space="preserve"> </v>
      </c>
    </row>
    <row r="46" spans="1:4" ht="15.95">
      <c r="A46" s="74">
        <v>7.08</v>
      </c>
      <c r="B46" s="75" t="s">
        <v>100</v>
      </c>
      <c r="C46" s="76" t="str">
        <f>'WRA Worksheet'!C46</f>
        <v>?</v>
      </c>
      <c r="D46" s="82" t="str">
        <f>'WRA Worksheet'!D46</f>
        <v xml:space="preserve"> </v>
      </c>
    </row>
    <row r="47" spans="1:4" ht="15.95">
      <c r="A47" s="74">
        <v>8.01</v>
      </c>
      <c r="B47" s="75" t="s">
        <v>101</v>
      </c>
      <c r="C47" s="76" t="str">
        <f>'WRA Worksheet'!C47</f>
        <v>n</v>
      </c>
      <c r="D47" s="82">
        <f>'WRA Worksheet'!D47</f>
        <v>-1</v>
      </c>
    </row>
    <row r="48" spans="1:4" ht="15.95">
      <c r="A48" s="74">
        <v>8.02</v>
      </c>
      <c r="B48" s="75" t="s">
        <v>103</v>
      </c>
      <c r="C48" s="76" t="str">
        <f>'WRA Worksheet'!C48</f>
        <v>y</v>
      </c>
      <c r="D48" s="82">
        <f>'WRA Worksheet'!D48</f>
        <v>1</v>
      </c>
    </row>
    <row r="49" spans="1:4" ht="15.95">
      <c r="A49" s="74">
        <v>8.0299999999999994</v>
      </c>
      <c r="B49" s="75" t="s">
        <v>106</v>
      </c>
      <c r="C49" s="76" t="str">
        <f>'WRA Worksheet'!C49</f>
        <v>y</v>
      </c>
      <c r="D49" s="82">
        <f>'WRA Worksheet'!D49</f>
        <v>-1</v>
      </c>
    </row>
    <row r="50" spans="1:4" ht="15.95">
      <c r="A50" s="74">
        <v>8.0399999999999991</v>
      </c>
      <c r="B50" s="75" t="s">
        <v>109</v>
      </c>
      <c r="C50" s="76" t="str">
        <f>'WRA Worksheet'!C50</f>
        <v>y</v>
      </c>
      <c r="D50" s="82">
        <f>'WRA Worksheet'!D50</f>
        <v>1</v>
      </c>
    </row>
    <row r="51" spans="1:4" ht="15.95">
      <c r="A51" s="74">
        <v>8.0500000000000007</v>
      </c>
      <c r="B51" s="67" t="s">
        <v>111</v>
      </c>
      <c r="C51" s="76" t="str">
        <f>'WRA Worksheet'!C51</f>
        <v>?</v>
      </c>
      <c r="D51" s="82" t="str">
        <f>'WRA Worksheet'!D51</f>
        <v xml:space="preserve"> </v>
      </c>
    </row>
    <row r="52" spans="1:4" ht="15.95">
      <c r="A52" s="31"/>
      <c r="B52" s="32" t="s">
        <v>112</v>
      </c>
      <c r="C52" s="146">
        <f>'WRA Worksheet'!D53</f>
        <v>9</v>
      </c>
      <c r="D52" s="146"/>
    </row>
    <row r="53" spans="1:4" ht="15.95">
      <c r="A53" s="33"/>
      <c r="B53" s="34" t="s">
        <v>163</v>
      </c>
      <c r="C53" s="146" t="str" cm="1">
        <f t="array" ref="C53">IF(OR('WRA Worksheet'!C71:D71="yes", 'WRA Worksheet'!C72:D72="yes", 'WRA Worksheet'!C73:D73="yes"),"yes","no")</f>
        <v>no</v>
      </c>
      <c r="D53" s="146"/>
    </row>
    <row r="54" spans="1:4" ht="15.95">
      <c r="A54" s="33"/>
      <c r="B54" s="34" t="s">
        <v>164</v>
      </c>
      <c r="C54" s="146" t="str">
        <f>IF(C53="yes", 'WRA Worksheet'!C74, 'WRA Worksheet'!D54)</f>
        <v>reject</v>
      </c>
      <c r="D54" s="146"/>
    </row>
    <row r="55" spans="1:4" ht="15.95" thickBot="1">
      <c r="A55" s="35"/>
      <c r="B55" s="36"/>
      <c r="C55" s="36"/>
      <c r="D55" s="37"/>
    </row>
    <row r="56" spans="1:4" ht="30.95" thickTop="1">
      <c r="A56" s="38" t="s">
        <v>165</v>
      </c>
      <c r="B56" s="39" t="s">
        <v>166</v>
      </c>
      <c r="C56" s="40" t="s">
        <v>116</v>
      </c>
      <c r="D56" s="37"/>
    </row>
    <row r="57" spans="1:4">
      <c r="A57" s="41" t="s">
        <v>117</v>
      </c>
      <c r="B57" s="42">
        <f>'WRA Worksheet'!C57</f>
        <v>8</v>
      </c>
      <c r="C57" s="43" t="str">
        <f>IF(B57&gt;=2,"yes","no")</f>
        <v>yes</v>
      </c>
      <c r="D57" s="37"/>
    </row>
    <row r="58" spans="1:4">
      <c r="A58" s="41" t="s">
        <v>118</v>
      </c>
      <c r="B58" s="42">
        <f>'WRA Worksheet'!C58</f>
        <v>8</v>
      </c>
      <c r="C58" s="43" t="str">
        <f>IF(B58&gt;=2,"yes","no")</f>
        <v>yes</v>
      </c>
      <c r="D58" s="37"/>
    </row>
    <row r="59" spans="1:4">
      <c r="A59" s="41" t="s">
        <v>119</v>
      </c>
      <c r="B59" s="42">
        <f>'WRA Worksheet'!C59</f>
        <v>18</v>
      </c>
      <c r="C59" s="43" t="str">
        <f>IF(B59&gt;=6,"yes","no")</f>
        <v>yes</v>
      </c>
      <c r="D59" s="37"/>
    </row>
    <row r="60" spans="1:4" ht="15.95" thickBot="1">
      <c r="A60" s="44" t="s">
        <v>120</v>
      </c>
      <c r="B60" s="45">
        <f>'WRA Worksheet'!C60</f>
        <v>34</v>
      </c>
      <c r="C60" s="46" t="str">
        <f>IF(C57="no","no",IF(C58="no","no",IF(C59="no","no","yes")))</f>
        <v>yes</v>
      </c>
      <c r="D60" s="37"/>
    </row>
    <row r="61" spans="1:4" ht="15.95" thickTop="1"/>
  </sheetData>
  <sheetProtection algorithmName="SHA-512" hashValue="OUPP6/JLKjaOreRnDsqedMxLQ5QXL0Eh+Rws3VhK3vD2Gyo6l4J6cu1Tr5oxN4ZoMbAZCxsipXqLcQtAUkOMKQ==" saltValue="SQl0PRYgekQzaekw/tcing==" spinCount="100000" sheet="1" objects="1" scenarios="1" formatCells="0"/>
  <mergeCells count="5">
    <mergeCell ref="A2:B2"/>
    <mergeCell ref="C52:D52"/>
    <mergeCell ref="C53:D53"/>
    <mergeCell ref="C54:D54"/>
    <mergeCell ref="A1:C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3A353-381C-4CCD-9F7C-6233287381B8}">
  <sheetPr>
    <tabColor theme="0"/>
  </sheetPr>
  <dimension ref="A1:C50"/>
  <sheetViews>
    <sheetView workbookViewId="0">
      <selection activeCell="C15" sqref="C15"/>
    </sheetView>
  </sheetViews>
  <sheetFormatPr defaultColWidth="8.85546875" defaultRowHeight="15"/>
  <cols>
    <col min="1" max="1" width="5" customWidth="1"/>
    <col min="2" max="3" width="49.42578125" customWidth="1"/>
  </cols>
  <sheetData>
    <row r="1" spans="1:3" ht="28.5" customHeight="1">
      <c r="A1" s="47"/>
      <c r="B1" s="48" t="s">
        <v>8</v>
      </c>
      <c r="C1" s="49" t="s">
        <v>9</v>
      </c>
    </row>
    <row r="2" spans="1:3">
      <c r="A2" s="30">
        <v>1.01</v>
      </c>
      <c r="B2" s="50" t="str" cm="1">
        <f t="array" ref="B2:C50">'WRA Worksheet'!F3:G51</f>
        <v>No evidence</v>
      </c>
      <c r="C2" s="51">
        <v>0</v>
      </c>
    </row>
    <row r="3" spans="1:3">
      <c r="A3" s="30">
        <v>1.02</v>
      </c>
      <c r="B3" s="50">
        <v>0</v>
      </c>
      <c r="C3" s="50">
        <v>0</v>
      </c>
    </row>
    <row r="4" spans="1:3">
      <c r="A4" s="30">
        <v>1.03</v>
      </c>
      <c r="B4" s="50">
        <v>0</v>
      </c>
      <c r="C4" s="50">
        <v>0</v>
      </c>
    </row>
    <row r="5" spans="1:3" ht="32.1">
      <c r="A5" s="30">
        <v>2.0099999999999998</v>
      </c>
      <c r="B5" s="52" t="str">
        <v>See attached climate suitability map</v>
      </c>
      <c r="C5" s="53">
        <v>0</v>
      </c>
    </row>
    <row r="6" spans="1:3">
      <c r="A6" s="30">
        <v>2.02</v>
      </c>
      <c r="B6" s="53" t="str">
        <v>See attached climate suitability map</v>
      </c>
      <c r="C6" s="54">
        <v>0</v>
      </c>
    </row>
    <row r="7" spans="1:3">
      <c r="A7" s="30">
        <v>2.0299999999999998</v>
      </c>
      <c r="B7" s="54" t="str">
        <v>See attached climate suitability map</v>
      </c>
      <c r="C7" s="53">
        <v>0</v>
      </c>
    </row>
    <row r="8" spans="1:3" ht="15.95">
      <c r="A8" s="30">
        <v>2.04</v>
      </c>
      <c r="B8" s="51" t="str">
        <v>See attached climate suitability map</v>
      </c>
      <c r="C8" s="51">
        <v>0</v>
      </c>
    </row>
    <row r="9" spans="1:3" ht="80.099999999999994">
      <c r="A9" s="30">
        <v>2.0499999999999998</v>
      </c>
      <c r="B9" s="51" t="str">
        <v>Noted as being native to Central America, South America, Central Africa and South Asia. Only non-native populations found in Florida (1). However, native range is noted to be uncertain. Few populations in southern Florida, which may originate from a single introduced populations (2). No reliable occurences found outside of "native" range (3). Given unclear native range and few occurences in Florida, unclear if there is a history of repeated introductions outside of its natural range.</v>
      </c>
      <c r="C9" s="53" t="str">
        <v>(1) https://powo.science.kew.org/taxon/urn:lsid:ipni.org:names:268434-1 (2) Wetterer, J.K. 2024. Spread of the non-native ginger-leaf morning-glory, Ipomoea asarifolia, in south Florida. Phytoneuron 2024-76: 1–16. Published 11 November 2024. ISSN 2153 733X (3) https://www.gbif.org/species/2928595</v>
      </c>
    </row>
    <row r="10" spans="1:3" ht="63.95">
      <c r="A10" s="30">
        <v>3.01</v>
      </c>
      <c r="B10" s="51" t="str">
        <v>Naturalized populations found in southern Florida (1) (2)</v>
      </c>
      <c r="C10" s="53" t="str">
        <v>(1) Wetterer, J.K. 2024. Spread of the non-native ginger-leaf morning-glory, Ipomoea asarifolia, in south Florida. Phytoneuron 2024-76: 1–16. Published 11 November 2024. ISSN 2153 733X (2) https://regionalconservation.org/ircs/Database/plants/PlantPage.asp?TXCODE=Ipomasar</v>
      </c>
    </row>
    <row r="11" spans="1:3" ht="80.099999999999994">
      <c r="A11" s="30">
        <v>3.02</v>
      </c>
      <c r="B11" s="50" t="str">
        <v xml:space="preserve"> Not much information regarding its weedy nature in these areas. However, taxon is found along disturbed areas such as roadside ditches (1). Therefore, it is possible. Answered UNKNOWN</v>
      </c>
      <c r="C11" s="53" t="str">
        <v>(1) BURKS, KATHLEEN CRADDOCK, and DANIEL F. AUSTIN. “IPOMOEA ASARIFOLIA (CONVOLVULACEAE), ANOTHER POTENTIAL EXOTIC PEST IN THE UNITED STATES.” SIDA, Contributions to Botany 18, no. 4 (1999): 1267–72. http://www.jstor.org/stable/41967737.</v>
      </c>
    </row>
    <row r="12" spans="1:3" ht="32.1">
      <c r="A12" s="30">
        <v>3.03</v>
      </c>
      <c r="B12" s="50" t="str">
        <v>Noted to be an agricultural weed. Taxon dominated green forage available in Brazil. Toxins from plants eaten by sheep shown to poison their milk, thus harming their young (1) Noted to cause high number of poisonings in ruminants (2)</v>
      </c>
      <c r="C12" s="53" t="str">
        <v>(1) Carvalho de Lucena, K.F., J.M.N. Rodrigues, É.M. Campos, A.F.M. Dantas, J.A. Pfister, D. Cook, R.M.T. Medeiros, and F. Riet-Correa. 2014. Poisoning by Ipomoea asarifolia in lambs by the ingestion of milk from ewes that ingest the plant. Toxicon 92: 129–132. (2) Pessoa, C.R., R.M. Medeiros, and F. Riet-Correa. 2013. Importância econômica, epidemiologia e controle das intoxicações por plantas no brasil. Pesq. Vet. Bras. 33: 752–758.</v>
      </c>
    </row>
    <row r="13" spans="1:3" ht="63.95">
      <c r="A13" s="30">
        <v>3.04</v>
      </c>
      <c r="B13" s="51" t="str">
        <v>Noted to be "thiriving in relatively intact, managed natural areas in South Florida." (1). However, unclear if it is having a significat impact on native plant/animal communities. Answered UNKNOWN</v>
      </c>
      <c r="C13" s="53" t="str">
        <v>(1) Wetterer, J.K. 2024. Spread of the non-native ginger-leaf morning-glory, Ipomoea asarifolia, in south Florida. Phytoneuron 2024-76: 1–16. Published 11 November 2024. ISSN 2153 733X</v>
      </c>
    </row>
    <row r="14" spans="1:3" ht="32.1">
      <c r="A14" s="30">
        <v>3.05</v>
      </c>
      <c r="B14" s="51" t="str">
        <v>Ipomoea aquatica and Ipomoea fistulosa considered weedy (among others) (1) (2)</v>
      </c>
      <c r="C14" s="53" t="str">
        <v>(1) https://www.fdacs.gov/Agriculture-Industry/Pests-and-Diseases/Plant-Pests-and-Diseases/Noxious-Weeds/Ipomoea-aquatica (2) https://www.fdacs.gov/Agriculture-Industry/Pests-and-Diseases/Plant-Pests-and-Diseases/Noxious-Weeds/Ipomoea-fistulosa</v>
      </c>
    </row>
    <row r="15" spans="1:3">
      <c r="A15" s="30">
        <v>4.01</v>
      </c>
      <c r="B15" s="50" t="str">
        <v>No evidence</v>
      </c>
      <c r="C15" s="55">
        <v>0</v>
      </c>
    </row>
    <row r="16" spans="1:3" ht="15.95">
      <c r="A16" s="30">
        <v>4.0199999999999996</v>
      </c>
      <c r="B16" s="51" t="str">
        <v>Allelopathic compounds found. (1) (2) However, no studies directly examininig this in the field found</v>
      </c>
      <c r="C16" s="51" t="str">
        <v>(1) CANTANHEDE, J. C. (2022). FITOTOXICIDADE DA ESPECIE Ipomoea asarifolia (Desr.) Roem. &amp; Schultz NO CONTROLE DE PLANTAS DANINHAS. - http://tedebc.ufma.br:8080/jspui/bitstream/tede/5641/2/JOECILA%20CORDEIRO%20CANTANHEDE.pdf (2) da Mata, R. R., Oliveira, R. R., Pereira, S. G., Rocha, T. L., Castro Aguiar, J. V., &amp; Silva-Matos, R. R. S. D. (2025). Phytochemical analysis of secondary metabolites from the flowers and roots of the plant Ipomoea asarifolia. Natural Product Research, 1-5. - https://www.tandfonline.com/doi/pdf/10.1080/14786419.2025.2473563?casa_token=taniKODyO48AAAAA:BjEbugNH4dJ1g3al7HSA2gRJXWfeF4I9_oFGtGIeph2FWhOYJ4tz0pUJpk6EasaWuyY9MjF1jPB0</v>
      </c>
    </row>
    <row r="17" spans="1:3" ht="15.95">
      <c r="A17" s="30">
        <v>4.03</v>
      </c>
      <c r="B17" s="51" t="str">
        <v>No evidence</v>
      </c>
      <c r="C17" s="51">
        <v>0</v>
      </c>
    </row>
    <row r="18" spans="1:3" ht="80.099999999999994">
      <c r="A18" s="30">
        <v>4.04</v>
      </c>
      <c r="B18" s="51" t="str">
        <v>Despite being toxic, livestock appear to consume the taxon (1) (2)</v>
      </c>
      <c r="C18" s="51" t="str">
        <v>(1) Carvalho de Lucena, K.F., J.M.N. Rodrigues, É.M. Campos, A.F.M. Dantas, J.A. Pfister, D. Cook, R.M.T. Medeiros, and F. Riet-Correa. 2014. Poisoning by Ipomoea asarifolia in lambs by the ingestion of milk from ewes that ingest the plant. Toxicon 92: 129–132. (2) Pessoa, C.R., R.M. Medeiros, and F. Riet-Correa. 2013. Importância econômica, epidemiologia e controle das intoxicações por plantas no brasil. Pesq. Vet. Bras. 33: 752–758.</v>
      </c>
    </row>
    <row r="19" spans="1:3" ht="48">
      <c r="A19" s="30">
        <v>4.05</v>
      </c>
      <c r="B19" s="51" t="str">
        <v>Noted to be an agricultural weed. Taxon dominated green forage available in Brazil. Toxins from plants eaten by sheep shown to poison their milk, thus harming their young (1) Noted to cause high number of poisonings in ruminants (2)</v>
      </c>
      <c r="C19" s="51" t="str">
        <v>(1) Carvalho de Lucena, K.F., J.M.N. Rodrigues, É.M. Campos, A.F.M. Dantas, J.A. Pfister, D. Cook, R.M.T. Medeiros, and F. Riet-Correa. 2014. Poisoning by Ipomoea asarifolia in lambs by the ingestion of milk from ewes that ingest the plant. Toxicon 92: 129–132. (2) Pessoa, C.R., R.M. Medeiros, and F. Riet-Correa. 2013. Importância econômica, epidemiologia e controle das intoxicações por plantas no brasil. Pesq. Vet. Bras. 33: 752–758.</v>
      </c>
    </row>
    <row r="20" spans="1:3" ht="63.95">
      <c r="A20" s="30">
        <v>4.0599999999999996</v>
      </c>
      <c r="B20" s="51" t="str">
        <v>Not enough information found</v>
      </c>
      <c r="C20" s="51">
        <v>0</v>
      </c>
    </row>
    <row r="21" spans="1:3" ht="15.95">
      <c r="A21" s="30">
        <v>4.07</v>
      </c>
      <c r="B21" s="51" t="str">
        <v>Considered toxic to livestock (see above). Leaf contains toxins (1) (2). Could feasilby be consumed by people accidentally. However, no evidence of this causing poisonings in people. Answered UNKNOWN</v>
      </c>
      <c r="C21" s="51" t="str">
        <v xml:space="preserve">(1) Salles, H. O., Vasconcelos, I. M., Santos, L. F. L., Oliveira, H. D., Costa, P. P. C., Nascimento, N. R. F., Santos, C. F., Sousa, D. F., Jorge, A. R. C., Menezes, D. B., Monteiro, H. S. A., Gondim, D. M. F., &amp; Oliveira, J. T. A. (2011). Towards a better understanding of Ipomoea asarifolia toxicity: Evidence of the involvement of a leaf lectin. Toxicon, 58(6–7), 502–508. https://doi.org/10.1016/j.toxicon.2011.08.011 (2) Akindele, A. J., Unachukwu, E. G., &amp; Osiagwu, D. D. (2015). 90 Days toxicological assessment of hydroethanolic leaf extract of Ipomoea asarifolia (Desr.) Roem. and Schult.(Convolvulaceae) in rats. Journal of ethnopharmacology, 174, 582-594.
</v>
      </c>
    </row>
    <row r="22" spans="1:3" ht="32.1">
      <c r="A22" s="30">
        <v>4.08</v>
      </c>
      <c r="B22" s="51" t="str">
        <v>Not enough information found</v>
      </c>
      <c r="C22" s="53">
        <v>0</v>
      </c>
    </row>
    <row r="23" spans="1:3" ht="48">
      <c r="A23" s="30">
        <v>4.09</v>
      </c>
      <c r="B23" s="51" t="str">
        <v>Noted to survive and grow in low light conditions, although performance seems to be lower than in plants grown in sun (1) (2)</v>
      </c>
      <c r="C23" s="51" t="str">
        <v>(1) Dias-Filho, M. B. (1999). Physiological responses of two tropical weeds to shade: I. Growth and biomass allocation. Pesquisa Agropecuária Brasileira, 34, 944-952. (2) Dias-Filho, M. B. (1999). Physiological responses of two tropical weeds to shade: II. Leaf gas exchange and nitrogen content. Pesquisa Agropecuária Brasileira, 34, 952-961.</v>
      </c>
    </row>
    <row r="24" spans="1:3" ht="32.1">
      <c r="A24" s="30">
        <v>4.0999999999999996</v>
      </c>
      <c r="B24" s="51" t="str">
        <v>Noted to thrive in sandy or gravelly soils (1) (2)</v>
      </c>
      <c r="C24" s="51" t="str">
        <v>(1) https://plantiary.com/plant/ipomoea-asarifolia_6585.html (2) https://portal.wiktrop.org/species/show/608</v>
      </c>
    </row>
    <row r="25" spans="1:3" ht="15.95">
      <c r="A25" s="30">
        <v>4.1100000000000003</v>
      </c>
      <c r="B25" s="51" t="str">
        <v>Taxon is a vine</v>
      </c>
      <c r="C25" s="51">
        <v>0</v>
      </c>
    </row>
    <row r="26" spans="1:3" ht="15.95">
      <c r="A26" s="30">
        <v>4.12</v>
      </c>
      <c r="B26" s="51" t="str">
        <v>No evidence</v>
      </c>
      <c r="C26" s="51">
        <v>0</v>
      </c>
    </row>
    <row r="27" spans="1:3" ht="15.95">
      <c r="A27" s="30">
        <v>5.01</v>
      </c>
      <c r="B27" s="51" t="str">
        <v>No evidence</v>
      </c>
      <c r="C27" s="51">
        <v>0</v>
      </c>
    </row>
    <row r="28" spans="1:3" ht="15.95">
      <c r="A28" s="30">
        <v>5.0199999999999996</v>
      </c>
      <c r="B28" s="51" t="str">
        <v>Not of the Poaceae family</v>
      </c>
      <c r="C28" s="51">
        <v>0</v>
      </c>
    </row>
    <row r="29" spans="1:3" ht="15.95">
      <c r="A29" s="30">
        <v>5.03</v>
      </c>
      <c r="B29" s="51" t="str">
        <v>No evidence</v>
      </c>
      <c r="C29" s="51">
        <v>0</v>
      </c>
    </row>
    <row r="30" spans="1:3" ht="15.95">
      <c r="A30" s="30">
        <v>5.04</v>
      </c>
      <c r="B30" s="51" t="str">
        <v xml:space="preserve">Noted to have taproots (1). However, not described as a geophyte. </v>
      </c>
      <c r="C30" s="51" t="str">
        <v>(1) https://portal.wiktrop.org/species/show/608</v>
      </c>
    </row>
    <row r="31" spans="1:3" ht="27.95">
      <c r="A31" s="30">
        <v>6.01</v>
      </c>
      <c r="B31" s="50" t="str">
        <v>No evidence</v>
      </c>
      <c r="C31" s="51">
        <v>0</v>
      </c>
    </row>
    <row r="32" spans="1:3" ht="48">
      <c r="A32" s="30">
        <v>6.02</v>
      </c>
      <c r="B32" s="51" t="str">
        <v>Propagates by seed (1) (2)</v>
      </c>
      <c r="C32" s="51" t="str">
        <v>(1) https://davesgarden.com/guides/pf/go/81858 (2) Ogunwenmo, K.O. 2006. Variation in fruit and seed morphology, germination and seedling behaviour
of some taxa of Ipomoea L. (Convolvulaceae). Feddes Repert. 117: 207–216.</v>
      </c>
    </row>
    <row r="33" spans="1:3" ht="48">
      <c r="A33" s="30">
        <v>6.03</v>
      </c>
      <c r="B33" s="51" t="str">
        <v>Shown to be incompatible to other Ipomoea species (1) despite being in sympatry (2).</v>
      </c>
      <c r="C33" s="51" t="str">
        <v>(1) Santos, B. Y. M., de Matos Costa, K., de Almeida, N. M., Buril, M. T., Santos, A. M. M., &amp; Leite, A. V. (2024). Influence of incompatible pollen grains on the reproductive success of Ipomoea asarifolia (Desr.) Roem. &amp; Schult.(Convolvulaceae) in Restinga, RN, Brazil. Brazilian Journal of Botany, 47(1), 229-234. (2) Santos BYM (2023) Isolamento reprodutivo entre espécies sincronopátricas de Ipomoea L. em uma área de Restinga no Rio Grande do Norte. PhD Thesis. Universidade Federal Rural de Pernambuco, Brazil</v>
      </c>
    </row>
    <row r="34" spans="1:3" ht="32.1">
      <c r="A34" s="30">
        <v>6.04</v>
      </c>
      <c r="B34" s="51" t="str">
        <v>Determined to be self incompatible (1)</v>
      </c>
      <c r="C34" s="51" t="str">
        <v>(1) Kiill PLH, RangA NT (2003) Ecologia da polinização de Ipomoea asarifolia (Ders.) Roem. &amp; Schult. (Convolvulaceae) na região semi-árida de Pernambuco. Acta Bot Bras 17:355–362. https://doi.org/10.1590/S0102-33062003000300003</v>
      </c>
    </row>
    <row r="35" spans="1:3" ht="15.95">
      <c r="A35" s="30">
        <v>6.05</v>
      </c>
      <c r="B35" s="51" t="str">
        <v>Pollinated by insects (1) (2)</v>
      </c>
      <c r="C35" s="51" t="str">
        <v>(1) Santos, B. Y. M., de Matos Costa, K., de Almeida, N. M., Buril, M. T., Santos, A. M. M., &amp; Leite, A. V. (2024). Influence of incompatible pollen grains on the reproductive success of Ipomoea asarifolia (Desr.) Roem. &amp; Schult.(Convolvulaceae) in Restinga, RN, Brazil. Brazilian Journal of Botany, 47(1), 229-234. (2) Kiill PLH, RangA NT (2003) Ecologia da polinização de Ipomoea asarifolia (Ders.) Roem. &amp; Schult. (Convolvulaceae) na região semi-árida de Pernambuco. Acta Bot Bras 17:355–362. https://doi.org/10.1590/S0102-33062003000300003</v>
      </c>
    </row>
    <row r="36" spans="1:3" ht="15.95">
      <c r="A36" s="30">
        <v>6.06</v>
      </c>
      <c r="B36" s="51" t="str">
        <v>Noted to be easily propagated by stem fragments (1) (2) (3)</v>
      </c>
      <c r="C36" s="51" t="str">
        <v>(1) BURKS, KATHLEEN CRADDOCK, and DANIEL F. AUSTIN. “IPOMOEA ASARIFOLIA (CONVOLVULACEAE), ANOTHER POTENTIAL EXOTIC PEST IN THE UNITED STATES.” SIDA, Contributions to Botany 18, no. 4 (1999): 1267–72. http://www.jstor.org/stable/41967737. (2) https://earthone.io/plant/ipomoea%20asarifolia?srsltid=AfmBOoqie8oRff9PIgTBd7_HOWbbewLh2lE3Xa4194YlsEm3jBxDEjKO (3) https://propagate.one/how-to-propagate-ipomoea-asarifolia/</v>
      </c>
    </row>
    <row r="37" spans="1:3" ht="15.95">
      <c r="A37" s="30">
        <v>6.07</v>
      </c>
      <c r="B37" s="51" t="str">
        <v>Not enough information found</v>
      </c>
      <c r="C37" s="51">
        <v>0</v>
      </c>
    </row>
    <row r="38" spans="1:3" ht="80.099999999999994">
      <c r="A38" s="30">
        <v>7.01</v>
      </c>
      <c r="B38" s="51" t="str">
        <v>Noted as being likely (1). However, not enough supporting evidence found.</v>
      </c>
      <c r="C38" s="51" t="str">
        <v>(1) Wetterer, J.K. 2024. Spread of the non-native ginger-leaf morning-glory, Ipomoea asarifolia, in south Florida. Phytoneuron 2024-76: 1–16. Published 11 November 2024. ISSN 2153 733X</v>
      </c>
    </row>
    <row r="39" spans="1:3" ht="32.1">
      <c r="A39" s="30">
        <v>7.02</v>
      </c>
      <c r="B39" s="51" t="str">
        <v>Online sales not found, but multiple guides on hwo to grow and propgate taxon found (1) (2)</v>
      </c>
      <c r="C39" s="51" t="str">
        <v>(1) https://propagate.one/how-to-propagate-ipomoea-asarifolia/ (2) https://earthone.io/plant/ipomoea%20asarifolia?srsltid=AfmBOoqeE1BdqlQfUXXRVI-OQp2meAGvxPcg39dB6YEeTvSjGPCEwkAk (3) https://davesgarden.com/guides/pf/go/81858</v>
      </c>
    </row>
    <row r="40" spans="1:3" ht="63.95">
      <c r="A40" s="30">
        <v>7.03</v>
      </c>
      <c r="B40" s="50" t="str">
        <v>No evidence</v>
      </c>
      <c r="C40" s="51">
        <v>0</v>
      </c>
    </row>
    <row r="41" spans="1:3" ht="15.95">
      <c r="A41" s="30">
        <v>7.04</v>
      </c>
      <c r="B41" s="51" t="str">
        <v>No evidence</v>
      </c>
      <c r="C41" s="51">
        <v>0</v>
      </c>
    </row>
    <row r="42" spans="1:3" ht="15.95">
      <c r="A42" s="30">
        <v>7.05</v>
      </c>
      <c r="B42" s="51" t="str">
        <v>No study that looked at floating potential found. However, suspected to be a possible cause of observed populations in seasonally-flooded areas (1)</v>
      </c>
      <c r="C42" s="51" t="str">
        <v>(1) Wetterer, J.K. 2024. Spread of the non-native ginger-leaf morning-glory, Ipomoea asarifolia, in south Florida. Phytoneuron 2024-76: 1–16. Published 11 November 2024. ISSN 2153 733X</v>
      </c>
    </row>
    <row r="43" spans="1:3" ht="15.95">
      <c r="A43" s="30">
        <v>7.06</v>
      </c>
      <c r="B43" s="51" t="str">
        <v>Noted as unlikely (1)</v>
      </c>
      <c r="C43" s="51" t="str">
        <v>(1) Wetterer, J.K. 2024. Spread of the non-native ginger-leaf morning-glory, Ipomoea asarifolia, in south Florida. Phytoneuron 2024-76: 1–16. Published 11 November 2024. ISSN 2153 733X</v>
      </c>
    </row>
    <row r="44" spans="1:3" ht="32.1">
      <c r="A44" s="30">
        <v>7.07</v>
      </c>
      <c r="B44" s="51" t="str">
        <v>Possible that seeds can be stuck in animal feet. However, not enough supporting evidence found</v>
      </c>
      <c r="C44" s="51">
        <v>0</v>
      </c>
    </row>
    <row r="45" spans="1:3" ht="32.1">
      <c r="A45" s="30">
        <v>7.08</v>
      </c>
      <c r="B45" s="50" t="str">
        <v>Not enough information found</v>
      </c>
      <c r="C45" s="51">
        <v>0</v>
      </c>
    </row>
    <row r="46" spans="1:3" ht="48">
      <c r="A46" s="30">
        <v>8.01</v>
      </c>
      <c r="B46" s="50" t="str">
        <v>Noted to produce 3-4 seeds per pod. (1) Unlikely to be considered a prolific seed producer.</v>
      </c>
      <c r="C46" s="51" t="str">
        <v>(1) Wetterer, J.K. 2024. Spread of the non-native ginger-leaf morning-glory, Ipomoea asarifolia, in south Florida. Phytoneuron 2024-76: 1–16. Published 11 November 2024. ISSN 2153 733X</v>
      </c>
    </row>
    <row r="47" spans="1:3" ht="48">
      <c r="A47" s="30">
        <v>8.02</v>
      </c>
      <c r="B47" s="51" t="str">
        <v>While somewhat uncommon, taxon can form persistent propagule banks beyond a year, especially at greater burial depths (1)</v>
      </c>
      <c r="C47" s="51" t="str">
        <v xml:space="preserve">(1) Dias-Filho, Moacyr B. (1999). Potential for seed bank formation of two weed species from Brazilian Amazonia. Planta Daninha, 17(2). </v>
      </c>
    </row>
    <row r="48" spans="1:3" ht="48">
      <c r="A48" s="30">
        <v>8.0299999999999994</v>
      </c>
      <c r="B48" s="51" t="str">
        <v>Herbicide in high doses noted to be effective (1). "Orizo plus" herbicide noted to be effective (2)</v>
      </c>
      <c r="C48" s="51" t="str">
        <v>(1) Ismaila U., Wada A. C., and Gbanguba U.A. (2014) Effect of pre-emergence application of Glyphosate on growth parameters and stubborn weeds of sugarcae at Badeggi, Nigeria. International Journal of AgriScience. 4(5): 267-271. - https://www.cabidigitallibrary.org/doi/pdf/10.5555/20143217349 (2) Ismaila U., Kolo M. G. M., and Gbanguba U.a. (2011). Efficacy and profitability of some weed control practices in upland rice (Oryza sativa L.) at Badeggi, Nigeria. American Journal of Experimental Agriculture. 1(4): 174-186. - https://www.cabidigitallibrary.org/doi/pdf/10.5555/20123042913</v>
      </c>
    </row>
    <row r="49" spans="1:3" ht="48">
      <c r="A49" s="30">
        <v>8.0399999999999991</v>
      </c>
      <c r="B49" s="51" t="str">
        <v>Likely given its ability to propgate vegetatively easily (1) (2) (3)</v>
      </c>
      <c r="C49" s="51" t="str">
        <v>(1) BURKS, KATHLEEN CRADDOCK, and DANIEL F. AUSTIN. “IPOMOEA ASARIFOLIA (CONVOLVULACEAE), ANOTHER POTENTIAL EXOTIC PEST IN THE UNITED STATES.” SIDA, Contributions to Botany 18, no. 4 (1999): 1267–72. http://www.jstor.org/stable/41967737. (2) https://earthone.io/plant/ipomoea%20asarifolia?srsltid=AfmBOoqie8oRff9PIgTBd7_HOWbbewLh2lE3Xa4194YlsEm3jBxDEjKO (3) https://propagate.one/how-to-propagate-ipomoea-asarifolia/</v>
      </c>
    </row>
    <row r="50" spans="1:3">
      <c r="A50" s="30">
        <v>8.0500000000000007</v>
      </c>
      <c r="B50" s="50" t="str">
        <v>Not enough information found</v>
      </c>
      <c r="C50" s="51">
        <v>0</v>
      </c>
    </row>
  </sheetData>
  <sheetProtection algorithmName="SHA-512" hashValue="HwVsddSKA36z0HQovLp52AHeyUwXIB3BK9O2Nfeb1wc6CSMAX71mBA8zvBTYMnBwR7SnlERXptCmZRxSLLKyAA==" saltValue="5pGpLizWx2P+VsfdacsGS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D21906AFC853A408AD5005C49B5E75E" ma:contentTypeVersion="17" ma:contentTypeDescription="Create a new document." ma:contentTypeScope="" ma:versionID="413b67428e06e4fbe1596370e8681275">
  <xsd:schema xmlns:xsd="http://www.w3.org/2001/XMLSchema" xmlns:xs="http://www.w3.org/2001/XMLSchema" xmlns:p="http://schemas.microsoft.com/office/2006/metadata/properties" xmlns:ns2="f21a967f-c9b6-4417-8b28-12bf5b07c60b" xmlns:ns3="898990d9-3832-423e-b64c-5c8524f186af" targetNamespace="http://schemas.microsoft.com/office/2006/metadata/properties" ma:root="true" ma:fieldsID="c5fcf276c65ab6b33a94e4b45a17df5b" ns2:_="" ns3:_="">
    <xsd:import namespace="f21a967f-c9b6-4417-8b28-12bf5b07c60b"/>
    <xsd:import namespace="898990d9-3832-423e-b64c-5c8524f186a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1a967f-c9b6-4417-8b28-12bf5b07c6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fa0c477a-f09e-4137-8c49-77869fdcca9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98990d9-3832-423e-b64c-5c8524f186af"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510cedfe-beb2-4ef3-8cef-26ff56bb9e6e}" ma:internalName="TaxCatchAll" ma:showField="CatchAllData" ma:web="898990d9-3832-423e-b64c-5c8524f186af">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21a967f-c9b6-4417-8b28-12bf5b07c60b">
      <Terms xmlns="http://schemas.microsoft.com/office/infopath/2007/PartnerControls"/>
    </lcf76f155ced4ddcb4097134ff3c332f>
    <TaxCatchAll xmlns="898990d9-3832-423e-b64c-5c8524f186af" xsi:nil="true"/>
  </documentManagement>
</p:properties>
</file>

<file path=customXml/itemProps1.xml><?xml version="1.0" encoding="utf-8"?>
<ds:datastoreItem xmlns:ds="http://schemas.openxmlformats.org/officeDocument/2006/customXml" ds:itemID="{C72C3439-75BE-411A-8E6B-DF10E44BED25}"/>
</file>

<file path=customXml/itemProps2.xml><?xml version="1.0" encoding="utf-8"?>
<ds:datastoreItem xmlns:ds="http://schemas.openxmlformats.org/officeDocument/2006/customXml" ds:itemID="{56D3B4EB-1ECA-4B4C-BE83-86EAEC67BB25}"/>
</file>

<file path=customXml/itemProps3.xml><?xml version="1.0" encoding="utf-8"?>
<ds:datastoreItem xmlns:ds="http://schemas.openxmlformats.org/officeDocument/2006/customXml" ds:itemID="{624714E1-6774-437D-801A-4B8EB940739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Wanamaker,Christian E</dc:creator>
  <cp:keywords/>
  <dc:description/>
  <cp:lastModifiedBy>Kim,Seokmin</cp:lastModifiedBy>
  <cp:revision/>
  <dcterms:created xsi:type="dcterms:W3CDTF">2021-06-15T16:34:22Z</dcterms:created>
  <dcterms:modified xsi:type="dcterms:W3CDTF">2025-05-01T19:06:47Z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0x010100BD21906AFC853A408AD5005C49B5E75E</vt:lpwstr>
  </property>
  <property fmtid="{D5CDD505-2E9C-101B-9397-08002B2CF9AE}" pid="3" name="MediaServiceImageTags">
    <vt:lpwstr/>
  </property>
</Properties>
</file>