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C:\Users\kimse\OneDrive\Desktop\UF\Species\"/>
    </mc:Choice>
  </mc:AlternateContent>
  <xr:revisionPtr revIDLastSave="165" documentId="13_ncr:1_{69508F93-8DBC-402F-A5D3-7DA40148BBBA}" xr6:coauthVersionLast="47" xr6:coauthVersionMax="47" xr10:uidLastSave="{C3F31B59-3C21-44EE-8284-7CDCABD94A96}"/>
  <bookViews>
    <workbookView xWindow="-120" yWindow="-120" windowWidth="29040" windowHeight="1572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<sst xmlns="http://schemas.openxmlformats.org/spreadsheetml/2006/main" count="332" uniqueCount="169">
  <si>
    <t>Species:</t>
  </si>
  <si>
    <t>Impatiens walleriana (Busy Lizzie, Bizzy lizzy, Balsam, Zanzibar balsam, Sultana, Sultan's flower, Sultan's balsam, Impatiens, Garden impatiens, Patience plant, Patient Lucy) aka Impatiens bruantii, I. episocopi, I. holstii, I. lujae, I. petersiana, I. sultani. Family: Balsaminaceae</t>
  </si>
  <si>
    <r>
      <rPr>
        <sz val="11"/>
        <color rgb="FF000000"/>
        <rFont val="Calibri"/>
      </rPr>
      <t>Assessment date: April 22, 2025</t>
    </r>
    <r>
      <rPr>
        <sz val="11"/>
        <color rgb="FFFF0000"/>
        <rFont val="Calibri"/>
      </rPr>
      <t xml:space="preserve"> </t>
    </r>
    <r>
      <rPr>
        <sz val="11"/>
        <color rgb="FF000000"/>
        <rFont val="Calibri"/>
      </rPr>
      <t xml:space="preserve"> Prepared by Seokmin Kim</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</si>
  <si>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</si>
  <si>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</si>
  <si>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</si>
  <si>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</si>
  <si>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</si>
  <si>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</si>
  <si>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</si>
  <si>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</si>
  <si>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</si>
  <si>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</si>
  <si>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</si>
  <si>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</si>
  <si>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</si>
  <si>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See attached climtae suitability map</t>
  </si>
  <si>
    <t>Quality of climate match data (1-low; 2-intermediate; 3-high)</t>
  </si>
  <si>
    <t>Broad climate suitability (environmental versatility)</t>
  </si>
  <si>
    <t>y</t>
  </si>
  <si>
    <t>Native or naturalized in habitats with periodic inundation
       North Zone: mean annual precipitation 50-70 inches
       Central Zone: mean annual precipitation 40-60 inches
       South Zone: mean annual precipitation 40-60 inches</t>
  </si>
  <si>
    <t>Does the species have a history of repeated introductions outside its natural range?</t>
  </si>
  <si>
    <t>Native to East Africa. Introduced to Australia, SE Asia, South America, Central America, Morrocco, Cameroon, Germany, and the USA (1). Occurences points through out the world. Notable absenses are North Africa, Central/North Asia, and North Canada  (2)</t>
  </si>
  <si>
    <t>(1) https://powo.science.kew.org/taxon/urn:lsid:ipni.org:names:374419-1 (2) https://www.gbif.org/species/2891772</t>
  </si>
  <si>
    <t>Naturalized beyond native range</t>
  </si>
  <si>
    <t>"...has naturalized in many other areas of the world, including parts of North America, Australia, and several Pacific Islands." (1) Widely naturalized and invasive (2). Considered naturalized in Australia (3)</t>
  </si>
  <si>
    <t>(1) https://animals.sandiegozoo.org/plants/impatiens (2) http://www.hear.org/pier/species/impatiens_walleriana.htm (3) https://weeds.org.au/wp-content/uploads/2020/04/potential.pdf</t>
  </si>
  <si>
    <t>Garden/amenity/disturbance weed</t>
  </si>
  <si>
    <t>"It colonises forest margins and is displacing native fern communities around waterfalls. It has also naturalised in riparian habitats and other moist areas" in Australia (1). "It is also a weed of roadsides, disturbed sites, and waste areas in populated areas." (2) "...is an exotic weed prevalent on roadsides, forest edges, and other disturbed habitat throughout Monteverde, Costa Rica." (3)</t>
  </si>
  <si>
    <t xml:space="preserve">(1) Csurhes, S./Edwards, R. 1998. Potential environmental weeds in Australia: Candidate species for preventative control. Canberra, Australia. Biodiversity Group, Environment Australia. 208 pp. (2) https://keyserver.lucidcentral.org/weeds/data/media/Html/impatiens_walleriana.htm (3) Parker, Alison, "Pollinator limitation and seed set of Impatiens walleriana, May 2005" (2005). Tropical
Ecology and Conservation [Monteverde Institute]. 601. https://digitalcommons.usf.edu/tropical_ecology/601 </t>
  </si>
  <si>
    <t>Weed of agriculture</t>
  </si>
  <si>
    <t>Environmental weed</t>
  </si>
  <si>
    <t>"It colonises forest margins and is displacing native fern communities around waterfalls. It has also naturalised in riparian habitats and other moist areas" in Australia (1). Considered an environmental weed in Queensland (2)</t>
  </si>
  <si>
    <t>(1) Csurhes, S./Edwards, R. 1998. Potential environmental weeds in Australia: Candidate species for preventative control. Canberra, Australia. Biodiversity Group, Environment Australia. 208 pp. (2) https://keyserver.lucidcentral.org/weeds/data/media/Html/impatiens_walleriana.htm</t>
  </si>
  <si>
    <t>Congeneric weed</t>
  </si>
  <si>
    <t>Impatiens glandulifera considered invasive (1) (2)</t>
  </si>
  <si>
    <t>(1) Coakley S, Petti C. Impacts of the Invasive Impatiens glandulifera: Lessons Learned from One of Europe's Top Invasive Species. Biology (Basel). 2021 Jul 3;10(7):619. doi: 10.3390/biology10070619. PMID: 34356476; PMCID: PMC8301180. (2)</t>
  </si>
  <si>
    <t>Produces spines, thorns or burrs</t>
  </si>
  <si>
    <t>Allelopathic</t>
  </si>
  <si>
    <t>?</t>
  </si>
  <si>
    <t>No studies found</t>
  </si>
  <si>
    <t>Parasitic</t>
  </si>
  <si>
    <t>Unpalatable to grazing animals</t>
  </si>
  <si>
    <t>"Deer can be troublesome" to the plant (1) Not considered deer resistant (2)</t>
  </si>
  <si>
    <t>(1) https://plants.ces.ncsu.edu/plants/impatiens-walleriana/ (2) https://njaes.rutgers.edu/deer-resistant-plants/?search=IMPATIENS</t>
  </si>
  <si>
    <t>Toxic to animals</t>
  </si>
  <si>
    <t>Host for recognised pests and pathogens</t>
  </si>
  <si>
    <t>Host of downy Mildew (1) (2)</t>
  </si>
  <si>
    <t>(1) https://ccmedia.fdacs.gov/content/download/67875/file/pest_alert_-_downy_mildew_of_impatiens.pdf (2) https://ipm.missouri.edu/mpg/2013/1/Downy-Mildew-on-Impatiens/</t>
  </si>
  <si>
    <t>Causes allergies or is otherwise toxic to humans</t>
  </si>
  <si>
    <t>Creates a fire hazard in natural ecosystems</t>
  </si>
  <si>
    <t>Is a shade tolerant plant at some stage of its life cycle</t>
  </si>
  <si>
    <t>Noted to tolerate deep shade (1). "Prized for their easy care and ability to flower in the shade." (2)</t>
  </si>
  <si>
    <t>(1) https://plants.ces.ncsu.edu/plants/impatiens-walleriana/ (2) https://animals.sandiegozoo.org/plants/impatiens</t>
  </si>
  <si>
    <t>Grows on infertile soils (oligotrophic, limerock, or excessively draining soils).  North &amp; Central Zones: infertile soils; South Zone: shallow limerock or Histisols.</t>
  </si>
  <si>
    <t>"They require moist, well-drained soils, supplemented with organic material, and a slightly acidinc pH." (1)</t>
  </si>
  <si>
    <t>(1) https://plants.ces.ncsu.edu/plants/impatiens-walleriana/</t>
  </si>
  <si>
    <t>Climbing or smothering growth habit</t>
  </si>
  <si>
    <t>Forms dense thickets</t>
  </si>
  <si>
    <t>Aquatic</t>
  </si>
  <si>
    <t>Grass</t>
  </si>
  <si>
    <t>Not of the Poaceae family</t>
  </si>
  <si>
    <t>Nitrogen fixing woody plant</t>
  </si>
  <si>
    <t>Geophyte</t>
  </si>
  <si>
    <t>Evidence of substantial reproductive failure in native habitat</t>
  </si>
  <si>
    <t>Produces viable seed</t>
  </si>
  <si>
    <t>Propagated by seed (1) (2)</t>
  </si>
  <si>
    <t>(1) https://plants.ces.ncsu.edu/plants/impatiens-walleriana/ (2) https://keyserver.lucidcentral.org/weeds/data/media/Html/impatiens_walleriana.htm</t>
  </si>
  <si>
    <t>Hybridizes naturally</t>
  </si>
  <si>
    <t>Hybridization possible (1) (2). Therefore, natural hybridization is likely when Impatiens ranges overlap.</t>
  </si>
  <si>
    <t>(1) Catherine M. Merlin and W. F. Grant. 1986. Hybridization studies in the genus Impatiens. Canadian Journal of Botany. 64(5): 1069-1074. https://doi.org/10.1139/b86-145 (2) Keach JE, Bridgen MP (2015) Towards improvement of impatiens. Combined Proc Int Plant Propagators’ Soc 65:317–325</t>
  </si>
  <si>
    <t>Self-compatible or apomictic</t>
  </si>
  <si>
    <t xml:space="preserve">Plants produced seed pods without pollinator visitation. "...in the absence of pollinators, I. walleriana plants are able to self-fertilize." (1) </t>
  </si>
  <si>
    <t xml:space="preserve">(1) Parker, Alison, "Pollinator limitation and seed set of Impatiens walleriana, May 2005" (2005). Tropical
Ecology and Conservation [Monteverde Institute]. 601. https://digitalcommons.usf.edu/tropical_ecology/601 </t>
  </si>
  <si>
    <t>Requires specialist pollinators</t>
  </si>
  <si>
    <t>"It attracts bees and butterflies that help pollinate the plants" (1) Insect pollinated (2) (3)</t>
  </si>
  <si>
    <t>(1) https://animals.sandiegozoo.org/plants/impatiens (2) Parker, Alison, "Pollinator limitation and seed set of Impatiens walleriana, May 2005" (2005). Tropical
Ecology and Conservation [Monteverde Institute]. 601. https://digitalcommons.usf.edu/tropical_ecology/601 (3) https://doi.org/10.1016/j.actatropica.2020.105624</t>
  </si>
  <si>
    <t>Reproduction by vegetative propagation</t>
  </si>
  <si>
    <t>"The plant can also be easily propagated from cuttings..." (1) Noted to be propagated vegetatively (2)</t>
  </si>
  <si>
    <t>(1) https://plants.ces.ncsu.edu/plants/impatiens-walleriana/ (2) https://www.thespruce.com/shade-tolerant-impatiens-flowers-2132141</t>
  </si>
  <si>
    <t>Minimum generative time (years)</t>
  </si>
  <si>
    <t>1 or fewer</t>
  </si>
  <si>
    <t>Can be an annual in certain conditions (1) (2)</t>
  </si>
  <si>
    <t>(1) https://keyserver.lucidcentral.org/weeds/data/media/Html/impatiens_walleriana.htm (2) https://animals.sandiegozoo.org/plants/impatiens</t>
  </si>
  <si>
    <t>Propagules likely to be dispersed unintentionally (plants growing in heavily trafficked areas)</t>
  </si>
  <si>
    <t>Dispersed in garden waste (1) (2)</t>
  </si>
  <si>
    <t>(1) https://keyserver.lucidcentral.org/weeds/data/media/Html/impatiens_walleriana.htm (2) https://www.aucklandmuseum.com/collection/object/932805</t>
  </si>
  <si>
    <t>Propagules dispersed intentionally by people</t>
  </si>
  <si>
    <t>Sold online (1) (2)</t>
  </si>
  <si>
    <t>(1) https://www.amazon.com/Impatiens-Walleriana/s?k=Impatiens+Walleriana (2) https://www.seedsdelmundo.com/product/impatiens-walleriana/?gQT=1</t>
  </si>
  <si>
    <t>Propagules likely to disperse as a produce contaminant</t>
  </si>
  <si>
    <t>Possible that propagules may be mixed with mulch or other plant materials</t>
  </si>
  <si>
    <t>Propagules adapted to wind dispersal</t>
  </si>
  <si>
    <t>Propagules water dispersed</t>
  </si>
  <si>
    <t>Noted as being able to be spread by water (1) (2)</t>
  </si>
  <si>
    <t>(1) https://keyserver.lucidcentral.org/weeds/data/media/Html/impatiens_walleriana.htm (2) Mandle L, Warren DL, Hoffmann MH, Peterson AT, Schmitt J, et al. (2010) Conclusions about Niche Expansion in Introduced Impatiens walleriana
Populations Depend on Method of Analysis. PLoS ONE 5(12): e15297. doi:10.1371/journal.pone.0015297_x000D_</t>
  </si>
  <si>
    <t>Propagules bird dispersed</t>
  </si>
  <si>
    <t>Fruits are not fleshy. "A glaborous ovoid capsule" (1) (2)</t>
  </si>
  <si>
    <t>(1) http://www.hear.org/pier/species/impatiens_walleriana.htm</t>
  </si>
  <si>
    <t>Propagules dispersed by other animals (externally)</t>
  </si>
  <si>
    <t>Possible given small propagule size. Caching behavior suspected (1)</t>
  </si>
  <si>
    <t>(1) Mandle L, Warren DL, Hoffmann MH, Peterson AT, Schmitt J, et al. (2010) Conclusions about Niche Expansion in Introduced Impatiens walleriana
Populations Depend on Method of Analysis. PLoS ONE 5(12): e15297. doi:10.1371/journal.pone.0015297_x000D_</t>
  </si>
  <si>
    <t>Propagules dispersed by other animals (internally)</t>
  </si>
  <si>
    <t>Prolific seed production</t>
  </si>
  <si>
    <t>Not enough information found</t>
  </si>
  <si>
    <t>Evidence that a persistent propagule bank is formed (&gt;1 yr)</t>
  </si>
  <si>
    <t>Noted to survive for two years under ideal conditions, but not much supporting information found (1)</t>
  </si>
  <si>
    <t>(1) https://acelandscapingservices.com/Impatiens</t>
  </si>
  <si>
    <t>Well controlled by herbicides</t>
  </si>
  <si>
    <t>Shown to be susceptible for irrigated herbicide (1)</t>
  </si>
  <si>
    <t>(1) Gettys, L. A. &amp; W. T. Haller, 2009. Tolerance of selected bedding plants to four herbicides in irrigation water. Hort Technology 19: 546–552.</t>
  </si>
  <si>
    <t>Tolerates, or benefits from, mutilation or cultivation</t>
  </si>
  <si>
    <t>Easily propagated vegetatively (1) (2)</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</si>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</sst>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F6" sqref="F6"/>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3" t="s">
        <v>2</v>
      </c>
      <c r="G1" s="56"/>
    </row>
    <row r="2" spans="1:8" s="17" customFormat="1" ht="30.75" customHeight="1">
      <c r="A2" s="18" t="s">
        <v>3</v>
      </c>
      <c r="B2" s="18" t="s">
        <v>4</v>
      </c>
      <c r="C2" s="18" t="s">
        <v>5</v>
      </c>
      <c r="D2" s="18" t="s">
        <v>6</v>
      </c>
      <c r="E2" s="88" t="s">
        <v>7</v>
      </c>
      <c r="F2" s="18" t="s">
        <v>8</v>
      </c>
      <c r="G2" s="18" t="s">
        <v>9</v>
      </c>
      <c r="H2" s="102"/>
    </row>
    <row r="3" spans="1:8">
      <c r="A3" s="66">
        <v>1.01</v>
      </c>
      <c r="B3" s="67" t="s">
        <v>10</v>
      </c>
      <c r="C3" s="56" t="s">
        <v>11</v>
      </c>
      <c r="D3" s="59">
        <f>IF(C3="Y",-3,IF(C3="N",0," "))</f>
        <v>0</v>
      </c>
      <c r="E3" s="57"/>
      <c r="F3" s="99" t="s">
        <v>12</v>
      </c>
      <c r="G3" s="64"/>
    </row>
    <row r="4" spans="1:8" ht="30">
      <c r="A4" s="66">
        <v>1.02</v>
      </c>
      <c r="B4" s="67" t="s">
        <v>13</v>
      </c>
      <c r="C4" s="56"/>
      <c r="D4" s="59" t="str">
        <f>IF(C4="n",VLOOKUP(LUT!C5,LUT!C4:E52,2),IF(C4="y",VLOOKUP(LUT!C5,LUT!C4:E52,3)," "))</f>
        <v xml:space="preserve"> </v>
      </c>
      <c r="E4" s="57"/>
      <c r="F4" s="64"/>
      <c r="G4" s="64"/>
    </row>
    <row r="5" spans="1:8">
      <c r="A5" s="66">
        <v>1.03</v>
      </c>
      <c r="B5" s="67" t="s">
        <v>14</v>
      </c>
      <c r="C5" s="56"/>
      <c r="D5" s="59" t="str">
        <f>IF(C5="Y",1,IF(C5="N",-1," "))</f>
        <v xml:space="preserve"> </v>
      </c>
      <c r="E5" s="57"/>
      <c r="F5" s="64"/>
      <c r="G5" s="64"/>
    </row>
    <row r="6" spans="1:8" ht="76.5">
      <c r="A6" s="66">
        <v>2.0099999999999998</v>
      </c>
      <c r="B6" s="67" t="s">
        <v>15</v>
      </c>
      <c r="C6" s="56">
        <v>3</v>
      </c>
      <c r="D6" s="60"/>
      <c r="E6" s="57"/>
      <c r="F6" s="99" t="s">
        <v>16</v>
      </c>
      <c r="G6" s="99"/>
    </row>
    <row r="7" spans="1:8" ht="30.75">
      <c r="A7" s="66">
        <v>2.02</v>
      </c>
      <c r="B7" s="67" t="s">
        <v>17</v>
      </c>
      <c r="C7" s="56">
        <v>3</v>
      </c>
      <c r="D7" s="60"/>
      <c r="E7" s="57"/>
      <c r="F7" s="99" t="s">
        <v>16</v>
      </c>
      <c r="G7" s="64"/>
    </row>
    <row r="8" spans="1:8">
      <c r="A8" s="66">
        <v>2.0299999999999998</v>
      </c>
      <c r="B8" s="67" t="s">
        <v>18</v>
      </c>
      <c r="C8" s="56" t="s">
        <v>19</v>
      </c>
      <c r="D8" s="59">
        <f>IF(C8="y",1,IF(C8="n",0," "))</f>
        <v>1</v>
      </c>
      <c r="E8" s="57"/>
      <c r="F8" s="99" t="s">
        <v>16</v>
      </c>
      <c r="G8" s="99"/>
    </row>
    <row r="9" spans="1:8" ht="121.5">
      <c r="A9" s="66">
        <v>2.04</v>
      </c>
      <c r="B9" s="67" t="s">
        <v>20</v>
      </c>
      <c r="C9" s="56" t="s">
        <v>19</v>
      </c>
      <c r="D9" s="59">
        <f>IF(C9="y",1,IF(C9="n",0," "))</f>
        <v>1</v>
      </c>
      <c r="E9" s="57"/>
      <c r="F9" s="99" t="s">
        <v>16</v>
      </c>
      <c r="G9" s="99"/>
    </row>
    <row r="10" spans="1:8" ht="30.75">
      <c r="A10" s="66">
        <v>2.0499999999999998</v>
      </c>
      <c r="B10" s="67" t="s">
        <v>21</v>
      </c>
      <c r="C10" s="56" t="s">
        <v>19</v>
      </c>
      <c r="D10" s="60"/>
      <c r="E10" s="57"/>
      <c r="F10" s="58" t="s">
        <v>22</v>
      </c>
      <c r="G10" s="58" t="s">
        <v>23</v>
      </c>
    </row>
    <row r="11" spans="1:8">
      <c r="A11" s="66">
        <v>3.01</v>
      </c>
      <c r="B11" s="67" t="s">
        <v>24</v>
      </c>
      <c r="C11" s="56" t="s">
        <v>19</v>
      </c>
      <c r="D11" s="59">
        <f>IF(C11="n",LOOKUP($C$10,LUT!$I$13:$L$13,LUT!$I$14:$L$14),IF(AND(C11="y",AND($C$6=1,$C$7=1)),2,IF(AND(C11="y",AND($C$6=1,$C$7=2)),1,IF(AND(C11="y",AND($C$6=1,$C$7=3)),1,IF(AND(C11="y",AND($C$6=2,$C$7=1)),2,IF(AND(C11="y",AND($C$6=2,$C$7=2)),2,IF(AND(C11="y",AND($C$6=2,$C$7=3)),1,IF(AND(C11="y",AND($C$6=3,$C$7=1)),2,IF(AND(C11="y",AND($C$6=3,$C$7=2)),2,IF(AND(C11="y",AND($C$6=3,$C$7=3)),2,""))))))))))</f>
        <v>2</v>
      </c>
      <c r="E11" s="57"/>
      <c r="F11" s="58" t="s">
        <v>25</v>
      </c>
      <c r="G11" s="58" t="s">
        <v>26</v>
      </c>
    </row>
    <row r="12" spans="1:8" ht="183">
      <c r="A12" s="66">
        <v>3.02</v>
      </c>
      <c r="B12" s="67" t="s">
        <v>27</v>
      </c>
      <c r="C12" s="56" t="s">
        <v>19</v>
      </c>
      <c r="D12" s="59">
        <f>IF(C12="n",LOOKUP($C$10,LUT!$I$13:$L$13,LUT!$I$15:$L$15),IF(AND(C12="y",AND($C$6=1,$C$7=1)),2,IF(AND(C12="y",AND($C$6=1,$C$7=2)),1,IF(AND(C12="y",AND($C$6=1,$C$7=3)),1,IF(AND(C12="y",AND($C$6=2,$C$7=1)),2,IF(AND(C12="y",AND($C$6=2,$C$7=2)),2,IF(AND(C12="y",AND($C$6=2,$C$7=3)),1,IF(AND(C12="y",AND($C$6=3,$C$7=1)),2,IF(AND(C12="y",AND($C$6=3,$C$7=2)),2,IF(AND(C12="y",AND($C$6=3,$C$7=3)),2,""))))))))))</f>
        <v>2</v>
      </c>
      <c r="E12" s="57"/>
      <c r="F12" s="101" t="s">
        <v>28</v>
      </c>
      <c r="G12" s="56" t="s">
        <v>29</v>
      </c>
    </row>
    <row r="13" spans="1:8">
      <c r="A13" s="66">
        <v>3.03</v>
      </c>
      <c r="B13" s="67" t="s">
        <v>30</v>
      </c>
      <c r="C13" s="56" t="s">
        <v>11</v>
      </c>
      <c r="D13" s="59">
        <f>IF(C13="n",LOOKUP($C$10,LUT!$I$13:$L$13,LUT!$I$15:$L$15),IF(AND(C13="y",AND($C$6=1,$C$7=1)),4,IF(AND(C13="y",AND($C$6=1,$C$7=2)),2,IF(AND(C13="y",AND($C$6=1,$C$7=3)),1,IF(AND(C13="y",AND($C$6=2,$C$7=1)),4,IF(AND(C13="y",AND($C$6=2,$C$7=2)),3,IF(AND(C13="y",AND($C$6=2,$C$7=3)),2,IF(AND(C13="y",AND($C$6=3,$C$7=1)),4,IF(AND(C13="y",AND($C$6=3,$C$7=2)),4,IF(AND(C13="y",AND($C$6=3,$C$7=3)),4,""))))))))))</f>
        <v>0</v>
      </c>
      <c r="E13" s="57"/>
      <c r="F13" s="100" t="s">
        <v>12</v>
      </c>
      <c r="G13" s="64"/>
    </row>
    <row r="14" spans="1:8" ht="106.5">
      <c r="A14" s="66">
        <v>3.04</v>
      </c>
      <c r="B14" s="67" t="s">
        <v>31</v>
      </c>
      <c r="C14" s="56" t="s">
        <v>19</v>
      </c>
      <c r="D14" s="59">
        <f>IF(C14="n",LOOKUP($C$10,LUT!$I$13:$L$13,LUT!$I$15:$L$15),IF(AND(C14="y",AND($C$6=1,$C$7=1)),4,IF(AND(C14="y",AND($C$6=1,$C$7=2)),2,IF(AND(C14="y",AND($C$6=1,$C$7=3)),1,IF(AND(C14="y",AND($C$6=2,$C$7=1)),4,IF(AND(C14="y",AND($C$6=2,$C$7=2)),3,IF(AND(C14="y",AND($C$6=2,$C$7=3)),2,IF(AND(C14="y",AND($C$6=3,$C$7=1)),4,IF(AND(C14="y",AND($C$6=3,$C$7=2)),4,IF(AND(C14="y",AND($C$6=3,$C$7=3)),4,""))))))))))</f>
        <v>4</v>
      </c>
      <c r="E14" s="57"/>
      <c r="F14" s="101" t="s">
        <v>32</v>
      </c>
      <c r="G14" s="56" t="s">
        <v>33</v>
      </c>
    </row>
    <row r="15" spans="1:8" ht="91.5">
      <c r="A15" s="66">
        <v>3.05</v>
      </c>
      <c r="B15" s="67" t="s">
        <v>34</v>
      </c>
      <c r="C15" s="56" t="s">
        <v>19</v>
      </c>
      <c r="D15" s="59">
        <f>IF(C15="n",LOOKUP($C$10,LUT!$I$13:$L$13,LUT!$I$15:$L$15),IF(AND(C15="y",AND($C$6=1,$C$7=1)),2,IF(AND(C15="y",AND($C$6=1,$C$7=2)),1,IF(AND(C15="y",AND($C$6=1,$C$7=3)),1,IF(AND(C15="y",AND($C$6=2,$C$7=1)),2,IF(AND(C15="y",AND($C$6=2,$C$7=2)),2,IF(AND(C15="y",AND($C$6=2,$C$7=3)),1,IF(AND(C15="y",AND($C$6=3,$C$7=1)),2,IF(AND(C15="y",AND($C$6=3,$C$7=2)),2,IF(AND(C15="y",AND($C$6=3,$C$7=3)),2,""))))))))))</f>
        <v>2</v>
      </c>
      <c r="E15" s="57"/>
      <c r="F15" s="64" t="s">
        <v>35</v>
      </c>
      <c r="G15" s="64" t="s">
        <v>36</v>
      </c>
    </row>
    <row r="16" spans="1:8">
      <c r="A16" s="66">
        <v>4.01</v>
      </c>
      <c r="B16" s="67" t="s">
        <v>37</v>
      </c>
      <c r="C16" s="56" t="s">
        <v>11</v>
      </c>
      <c r="D16" s="59">
        <f>IF(C16="y",VLOOKUP(LUT!C17,LUT!$C$4:$E$52,3),IF(C16="n",VLOOKUP(LUT!C17,LUT!$C$4:$E$52,2)," "))</f>
        <v>0</v>
      </c>
      <c r="E16" s="57"/>
      <c r="F16" s="64" t="s">
        <v>12</v>
      </c>
      <c r="G16" s="64"/>
    </row>
    <row r="17" spans="1:7">
      <c r="A17" s="66">
        <v>4.0199999999999996</v>
      </c>
      <c r="B17" s="67" t="s">
        <v>38</v>
      </c>
      <c r="C17" s="56" t="s">
        <v>39</v>
      </c>
      <c r="D17" s="59" t="str">
        <f>IF(C17="y",VLOOKUP(LUT!C18,LUT!C4:E52,3),IF(C17="n",VLOOKUP(LUT!C18,LUT!C4:E52,2)," "))</f>
        <v xml:space="preserve"> </v>
      </c>
      <c r="E17" s="57"/>
      <c r="F17" s="64" t="s">
        <v>40</v>
      </c>
      <c r="G17" s="64"/>
    </row>
    <row r="18" spans="1:7">
      <c r="A18" s="66">
        <v>4.03</v>
      </c>
      <c r="B18" s="67" t="s">
        <v>41</v>
      </c>
      <c r="C18" s="56" t="s">
        <v>11</v>
      </c>
      <c r="D18" s="59">
        <f>IF(C18="y",VLOOKUP(LUT!C19,LUT!$C$4:$E$52,3),IF(C18="n",VLOOKUP(LUT!C19,LUT!$C$4:$E$52,2)," "))</f>
        <v>0</v>
      </c>
      <c r="E18" s="57"/>
      <c r="F18" s="64" t="s">
        <v>12</v>
      </c>
      <c r="G18" s="64"/>
    </row>
    <row r="19" spans="1:7" ht="60.75">
      <c r="A19" s="66">
        <v>4.04</v>
      </c>
      <c r="B19" s="67" t="s">
        <v>42</v>
      </c>
      <c r="C19" s="56" t="s">
        <v>11</v>
      </c>
      <c r="D19" s="59">
        <f>IF(C19="y",VLOOKUP(LUT!C20,LUT!$C$4:$E$52,3),IF(C19="n",VLOOKUP(LUT!C20,LUT!$C$4:$E$52,2)," "))</f>
        <v>-1</v>
      </c>
      <c r="E19" s="57"/>
      <c r="F19" s="64" t="s">
        <v>43</v>
      </c>
      <c r="G19" s="64" t="s">
        <v>44</v>
      </c>
    </row>
    <row r="20" spans="1:7">
      <c r="A20" s="66">
        <v>4.05</v>
      </c>
      <c r="B20" s="67" t="s">
        <v>45</v>
      </c>
      <c r="C20" s="56" t="s">
        <v>11</v>
      </c>
      <c r="D20" s="59">
        <f>IF(C20="y",VLOOKUP(LUT!C21,LUT!$C$4:$E$52,3),IF(C20="n",VLOOKUP(LUT!C21,LUT!$C$4:$E$52,2)," "))</f>
        <v>0</v>
      </c>
      <c r="E20" s="57"/>
      <c r="F20" s="64" t="s">
        <v>12</v>
      </c>
      <c r="G20" s="64"/>
    </row>
    <row r="21" spans="1:7" ht="76.5">
      <c r="A21" s="66">
        <v>4.0599999999999996</v>
      </c>
      <c r="B21" s="67" t="s">
        <v>46</v>
      </c>
      <c r="C21" s="56" t="s">
        <v>19</v>
      </c>
      <c r="D21" s="59">
        <f>IF(C21="y",VLOOKUP(LUT!C22,LUT!$C$4:$E$52,3),IF(C21="n",VLOOKUP(LUT!C22,LUT!$C$4:$E$52,2)," "))</f>
        <v>1</v>
      </c>
      <c r="E21" s="57"/>
      <c r="F21" s="64" t="s">
        <v>47</v>
      </c>
      <c r="G21" s="64" t="s">
        <v>48</v>
      </c>
    </row>
    <row r="22" spans="1:7">
      <c r="A22" s="66">
        <v>4.07</v>
      </c>
      <c r="B22" s="67" t="s">
        <v>49</v>
      </c>
      <c r="C22" s="56" t="s">
        <v>11</v>
      </c>
      <c r="D22" s="59">
        <f>IF(C22="y",VLOOKUP(LUT!C23,LUT!$C$4:$E$52,3),IF(C22="n",VLOOKUP(LUT!C23,LUT!$C$4:$E$52,2)," "))</f>
        <v>0</v>
      </c>
      <c r="E22" s="57"/>
      <c r="F22" s="64" t="s">
        <v>12</v>
      </c>
      <c r="G22" s="64"/>
    </row>
    <row r="23" spans="1:7">
      <c r="A23" s="66">
        <v>4.08</v>
      </c>
      <c r="B23" s="67" t="s">
        <v>50</v>
      </c>
      <c r="C23" s="56" t="s">
        <v>11</v>
      </c>
      <c r="D23" s="59">
        <f>IF(C23="y",VLOOKUP(LUT!C24,LUT!$C$4:$E$52,3),IF(C23="n",VLOOKUP(LUT!C24,LUT!$C$4:$E$52,2)," "))</f>
        <v>0</v>
      </c>
      <c r="E23" s="57"/>
      <c r="F23" s="64" t="s">
        <v>12</v>
      </c>
      <c r="G23" s="64"/>
    </row>
    <row r="24" spans="1:7" ht="45.75">
      <c r="A24" s="66">
        <v>4.09</v>
      </c>
      <c r="B24" s="67" t="s">
        <v>51</v>
      </c>
      <c r="C24" s="56" t="s">
        <v>19</v>
      </c>
      <c r="D24" s="59">
        <f>IF(C24="y",VLOOKUP(LUT!C25,LUT!$C$4:$E$52,3),IF(C24="n",VLOOKUP(LUT!C25,LUT!$C$4:$E$52,2)," "))</f>
        <v>1</v>
      </c>
      <c r="E24" s="57"/>
      <c r="F24" s="64" t="s">
        <v>52</v>
      </c>
      <c r="G24" s="64" t="s">
        <v>53</v>
      </c>
    </row>
    <row r="25" spans="1:7" ht="60.75">
      <c r="A25" s="66">
        <v>4.0999999999999996</v>
      </c>
      <c r="B25" s="68" t="s">
        <v>54</v>
      </c>
      <c r="C25" s="56" t="s">
        <v>11</v>
      </c>
      <c r="D25" s="59">
        <f>IF(C25="y",VLOOKUP(LUT!C26,LUT!$C$4:$E$52,3),IF(C25="n",VLOOKUP(LUT!C26,LUT!$C$4:$E$52,2)," "))</f>
        <v>0</v>
      </c>
      <c r="E25" s="57"/>
      <c r="F25" s="64" t="s">
        <v>55</v>
      </c>
      <c r="G25" s="64" t="s">
        <v>56</v>
      </c>
    </row>
    <row r="26" spans="1:7">
      <c r="A26" s="66">
        <v>4.1100000000000003</v>
      </c>
      <c r="B26" s="67" t="s">
        <v>57</v>
      </c>
      <c r="C26" s="56" t="s">
        <v>11</v>
      </c>
      <c r="D26" s="59">
        <f>IF(C26="y",VLOOKUP(LUT!C27,LUT!$C$4:$E$52,3),IF(C26="n",VLOOKUP(LUT!C27,LUT!$C$4:$E$52,2)," "))</f>
        <v>0</v>
      </c>
      <c r="E26" s="57"/>
      <c r="F26" s="64" t="s">
        <v>12</v>
      </c>
      <c r="G26" s="64"/>
    </row>
    <row r="27" spans="1:7">
      <c r="A27" s="66">
        <v>4.12</v>
      </c>
      <c r="B27" s="67" t="s">
        <v>58</v>
      </c>
      <c r="C27" s="56" t="s">
        <v>11</v>
      </c>
      <c r="D27" s="59">
        <f>IF(C27="y",VLOOKUP(LUT!C28,LUT!$C$4:$E$52,3),IF(C27="n",VLOOKUP(LUT!C28,LUT!$C$4:$E$52,2)," "))</f>
        <v>0</v>
      </c>
      <c r="E27" s="57"/>
      <c r="F27" s="64" t="s">
        <v>12</v>
      </c>
      <c r="G27" s="64"/>
    </row>
    <row r="28" spans="1:7">
      <c r="A28" s="66">
        <v>5.01</v>
      </c>
      <c r="B28" s="67" t="s">
        <v>59</v>
      </c>
      <c r="C28" s="56" t="s">
        <v>11</v>
      </c>
      <c r="D28" s="59">
        <f>IF(C28="y",VLOOKUP(LUT!C29,LUT!$C$4:$E$52,3),IF(C28="n",VLOOKUP(LUT!C29,LUT!$C$4:$E$52,2)," "))</f>
        <v>0</v>
      </c>
      <c r="E28" s="57"/>
      <c r="F28" s="64" t="s">
        <v>12</v>
      </c>
      <c r="G28" s="64"/>
    </row>
    <row r="29" spans="1:7">
      <c r="A29" s="66">
        <v>5.0199999999999996</v>
      </c>
      <c r="B29" s="67" t="s">
        <v>60</v>
      </c>
      <c r="C29" s="56" t="s">
        <v>11</v>
      </c>
      <c r="D29" s="59">
        <f>IF(C29="y",VLOOKUP(LUT!C30,LUT!$C$4:$E$52,3),IF(C29="n",VLOOKUP(LUT!C30,LUT!$C$4:$E$52,2)," "))</f>
        <v>0</v>
      </c>
      <c r="E29" s="57"/>
      <c r="F29" s="64" t="s">
        <v>61</v>
      </c>
      <c r="G29" s="64"/>
    </row>
    <row r="30" spans="1:7">
      <c r="A30" s="66">
        <v>5.03</v>
      </c>
      <c r="B30" s="67" t="s">
        <v>62</v>
      </c>
      <c r="C30" s="56" t="s">
        <v>11</v>
      </c>
      <c r="D30" s="59">
        <f>IF(C30="y",VLOOKUP(LUT!C31,LUT!$C$4:$E$52,3),IF(C30="n",VLOOKUP(LUT!C31,LUT!$C$4:$E$52,2)," "))</f>
        <v>0</v>
      </c>
      <c r="E30" s="57"/>
      <c r="F30" s="64" t="s">
        <v>12</v>
      </c>
      <c r="G30" s="64"/>
    </row>
    <row r="31" spans="1:7">
      <c r="A31" s="66">
        <v>5.04</v>
      </c>
      <c r="B31" s="67" t="s">
        <v>63</v>
      </c>
      <c r="C31" s="56" t="s">
        <v>11</v>
      </c>
      <c r="D31" s="59">
        <f>IF(C31="y",VLOOKUP(LUT!C32,LUT!$C$4:$E$52,3),IF(C31="n",VLOOKUP(LUT!C32,LUT!$C$4:$E$52,2)," "))</f>
        <v>0</v>
      </c>
      <c r="E31" s="57"/>
      <c r="F31" s="64" t="s">
        <v>12</v>
      </c>
      <c r="G31" s="64"/>
    </row>
    <row r="32" spans="1:7" ht="30.75">
      <c r="A32" s="66">
        <v>6.01</v>
      </c>
      <c r="B32" s="67" t="s">
        <v>64</v>
      </c>
      <c r="C32" s="56" t="s">
        <v>11</v>
      </c>
      <c r="D32" s="59">
        <f>IF(C32="y",VLOOKUP(LUT!C33,LUT!$C$4:$E$52,3),IF(C32="n",VLOOKUP(LUT!C33,LUT!$C$4:$E$52,2)," "))</f>
        <v>0</v>
      </c>
      <c r="E32" s="57"/>
      <c r="F32" s="64" t="s">
        <v>12</v>
      </c>
      <c r="G32" s="64"/>
    </row>
    <row r="33" spans="1:7" ht="60.75">
      <c r="A33" s="66">
        <v>6.02</v>
      </c>
      <c r="B33" s="67" t="s">
        <v>65</v>
      </c>
      <c r="C33" s="56" t="s">
        <v>19</v>
      </c>
      <c r="D33" s="59">
        <f>IF(C33="y",VLOOKUP(LUT!C34,LUT!$C$4:$E$52,3),IF(C33="n",VLOOKUP(LUT!C34,LUT!$C$4:$E$52,2)," "))</f>
        <v>1</v>
      </c>
      <c r="E33" s="57"/>
      <c r="F33" s="64" t="s">
        <v>66</v>
      </c>
      <c r="G33" s="64" t="s">
        <v>67</v>
      </c>
    </row>
    <row r="34" spans="1:7" ht="106.5">
      <c r="A34" s="66">
        <v>6.03</v>
      </c>
      <c r="B34" s="67" t="s">
        <v>68</v>
      </c>
      <c r="C34" s="56" t="s">
        <v>19</v>
      </c>
      <c r="D34" s="59">
        <f>IF(C34="y",VLOOKUP(LUT!C35,LUT!$C$4:$E$52,3),IF(C34="n",VLOOKUP(LUT!C35,LUT!$C$4:$E$52,2)," "))</f>
        <v>1</v>
      </c>
      <c r="E34" s="57"/>
      <c r="F34" s="64" t="s">
        <v>69</v>
      </c>
      <c r="G34" s="64" t="s">
        <v>70</v>
      </c>
    </row>
    <row r="35" spans="1:7" ht="91.5">
      <c r="A35" s="66">
        <v>6.04</v>
      </c>
      <c r="B35" s="67" t="s">
        <v>71</v>
      </c>
      <c r="C35" s="56" t="s">
        <v>19</v>
      </c>
      <c r="D35" s="59">
        <f>IF(C35="y",VLOOKUP(LUT!C36,LUT!$C$4:$E$52,3),IF(C35="n",VLOOKUP(LUT!C36,LUT!$C$4:$E$52,2)," "))</f>
        <v>1</v>
      </c>
      <c r="E35" s="57"/>
      <c r="F35" s="64" t="s">
        <v>72</v>
      </c>
      <c r="G35" s="64" t="s">
        <v>73</v>
      </c>
    </row>
    <row r="36" spans="1:7" ht="121.5">
      <c r="A36" s="66">
        <v>6.05</v>
      </c>
      <c r="B36" s="67" t="s">
        <v>74</v>
      </c>
      <c r="C36" s="56" t="s">
        <v>11</v>
      </c>
      <c r="D36" s="59">
        <f>IF(C36="y",VLOOKUP(LUT!C37,LUT!$C$4:$E$52,3),IF(C36="n",VLOOKUP(LUT!C37,LUT!$C$4:$E$52,2)," "))</f>
        <v>0</v>
      </c>
      <c r="E36" s="57"/>
      <c r="F36" s="64" t="s">
        <v>75</v>
      </c>
      <c r="G36" s="64" t="s">
        <v>76</v>
      </c>
    </row>
    <row r="37" spans="1:7" ht="60.75">
      <c r="A37" s="66">
        <v>6.06</v>
      </c>
      <c r="B37" s="67" t="s">
        <v>77</v>
      </c>
      <c r="C37" s="56" t="s">
        <v>19</v>
      </c>
      <c r="D37" s="59">
        <f>IF(C37="y",VLOOKUP(LUT!C38,LUT!$C$4:$E$52,3),IF(C37="n",VLOOKUP(LUT!C38,LUT!$C$4:$E$52,2)," "))</f>
        <v>1</v>
      </c>
      <c r="E37" s="57"/>
      <c r="F37" s="64" t="s">
        <v>78</v>
      </c>
      <c r="G37" s="64" t="s">
        <v>79</v>
      </c>
    </row>
    <row r="38" spans="1:7" ht="60.75">
      <c r="A38" s="66">
        <v>6.07</v>
      </c>
      <c r="B38" s="67" t="s">
        <v>80</v>
      </c>
      <c r="C38" s="84" t="s">
        <v>81</v>
      </c>
      <c r="D38" s="59">
        <f>IF(C38="1 or fewer",1,IF(C38="2 or 3",0,IF(C38&gt;="4 or more",-1," ")))</f>
        <v>1</v>
      </c>
      <c r="E38" s="57"/>
      <c r="F38" s="64" t="s">
        <v>82</v>
      </c>
      <c r="G38" s="64" t="s">
        <v>83</v>
      </c>
    </row>
    <row r="39" spans="1:7" ht="60.75">
      <c r="A39" s="66">
        <v>7.01</v>
      </c>
      <c r="B39" s="67" t="s">
        <v>84</v>
      </c>
      <c r="C39" s="56" t="s">
        <v>19</v>
      </c>
      <c r="D39" s="59">
        <f>IF(C39="y",VLOOKUP(LUT!C40,LUT!$C$4:$E$52,3),IF(C39="n",VLOOKUP(LUT!C40,LUT!$C$4:$E$52,2)," "))</f>
        <v>1</v>
      </c>
      <c r="E39" s="57"/>
      <c r="F39" s="101" t="s">
        <v>85</v>
      </c>
      <c r="G39" s="56" t="s">
        <v>86</v>
      </c>
    </row>
    <row r="40" spans="1:7" ht="60.75">
      <c r="A40" s="66">
        <v>7.02</v>
      </c>
      <c r="B40" s="67" t="s">
        <v>87</v>
      </c>
      <c r="C40" s="56" t="s">
        <v>19</v>
      </c>
      <c r="D40" s="59">
        <f>IF(C40="y",VLOOKUP(LUT!C41,LUT!$C$4:$E$52,3),IF(C40="n",VLOOKUP(LUT!C41,LUT!$C$4:$E$52,2)," "))</f>
        <v>1</v>
      </c>
      <c r="E40" s="57"/>
      <c r="F40" s="64" t="s">
        <v>88</v>
      </c>
      <c r="G40" s="64" t="s">
        <v>89</v>
      </c>
    </row>
    <row r="41" spans="1:7" ht="30.75">
      <c r="A41" s="66">
        <v>7.03</v>
      </c>
      <c r="B41" s="67" t="s">
        <v>90</v>
      </c>
      <c r="C41" s="56" t="s">
        <v>39</v>
      </c>
      <c r="D41" s="59" t="str">
        <f>IF(C41="y",VLOOKUP(LUT!C42,LUT!$C$4:$E$52,3),IF(C41="n",VLOOKUP(LUT!C42,LUT!$C$4:$E$52,2)," "))</f>
        <v xml:space="preserve"> </v>
      </c>
      <c r="E41" s="57"/>
      <c r="F41" s="64" t="s">
        <v>91</v>
      </c>
      <c r="G41" s="64"/>
    </row>
    <row r="42" spans="1:7">
      <c r="A42" s="66">
        <v>7.04</v>
      </c>
      <c r="B42" s="67" t="s">
        <v>92</v>
      </c>
      <c r="C42" s="56" t="s">
        <v>11</v>
      </c>
      <c r="D42" s="59">
        <f>IF(C42="y",VLOOKUP(LUT!C43,LUT!$C$4:$E$52,3),IF(C42="n",VLOOKUP(LUT!C43,LUT!$C$4:$E$52,2)," "))</f>
        <v>-1</v>
      </c>
      <c r="E42" s="57"/>
      <c r="F42" s="64" t="s">
        <v>12</v>
      </c>
      <c r="G42" s="64"/>
    </row>
    <row r="43" spans="1:7" ht="152.25">
      <c r="A43" s="66">
        <v>7.05</v>
      </c>
      <c r="B43" s="67" t="s">
        <v>93</v>
      </c>
      <c r="C43" s="56" t="s">
        <v>19</v>
      </c>
      <c r="D43" s="59">
        <f>IF(C43="y",VLOOKUP(LUT!C44,LUT!$C$4:$E$52,3),IF(C43="n",VLOOKUP(LUT!C44,LUT!$C$4:$E$52,2)," "))</f>
        <v>1</v>
      </c>
      <c r="E43" s="57"/>
      <c r="F43" s="64" t="s">
        <v>94</v>
      </c>
      <c r="G43" s="64" t="s">
        <v>95</v>
      </c>
    </row>
    <row r="44" spans="1:7" ht="30.75">
      <c r="A44" s="66">
        <v>7.06</v>
      </c>
      <c r="B44" s="67" t="s">
        <v>96</v>
      </c>
      <c r="C44" s="56" t="s">
        <v>11</v>
      </c>
      <c r="D44" s="59">
        <f>IF(C44="y",VLOOKUP(LUT!C45,LUT!$C$4:$E$52,3),IF(C44="n",VLOOKUP(LUT!C45,LUT!$C$4:$E$52,2)," "))</f>
        <v>-1</v>
      </c>
      <c r="E44" s="57"/>
      <c r="F44" s="64" t="s">
        <v>97</v>
      </c>
      <c r="G44" s="64" t="s">
        <v>98</v>
      </c>
    </row>
    <row r="45" spans="1:7" ht="121.5">
      <c r="A45" s="66">
        <v>7.07</v>
      </c>
      <c r="B45" s="67" t="s">
        <v>99</v>
      </c>
      <c r="C45" s="56" t="s">
        <v>39</v>
      </c>
      <c r="D45" s="59" t="str">
        <f>IF(C45="y",VLOOKUP(LUT!C46,LUT!$C$4:$E$52,3),IF(C45="n",VLOOKUP(LUT!C46,LUT!$C$4:$E$52,2)," "))</f>
        <v xml:space="preserve"> </v>
      </c>
      <c r="E45" s="57"/>
      <c r="F45" s="64" t="s">
        <v>100</v>
      </c>
      <c r="G45" s="64" t="s">
        <v>101</v>
      </c>
    </row>
    <row r="46" spans="1:7">
      <c r="A46" s="66">
        <v>7.08</v>
      </c>
      <c r="B46" s="67" t="s">
        <v>102</v>
      </c>
      <c r="C46" s="56" t="s">
        <v>11</v>
      </c>
      <c r="D46" s="59">
        <f>IF(C46="y",VLOOKUP(LUT!C47,LUT!$C$4:$E$52,3),IF(C46="n",VLOOKUP(LUT!C47,LUT!$C$4:$E$52,2)," "))</f>
        <v>-1</v>
      </c>
      <c r="E46" s="57"/>
      <c r="F46" s="64" t="s">
        <v>12</v>
      </c>
      <c r="G46" s="64"/>
    </row>
    <row r="47" spans="1:7">
      <c r="A47" s="66">
        <v>8.01</v>
      </c>
      <c r="B47" s="67" t="s">
        <v>103</v>
      </c>
      <c r="C47" s="56" t="s">
        <v>39</v>
      </c>
      <c r="D47" s="59" t="str">
        <f>IF(C47="y",VLOOKUP(LUT!C48,LUT!$C$4:$E$52,3),IF(C47="n",VLOOKUP(LUT!C48,LUT!$C$4:$E$52,2)," "))</f>
        <v xml:space="preserve"> </v>
      </c>
      <c r="E47" s="57"/>
      <c r="F47" s="58" t="s">
        <v>104</v>
      </c>
    </row>
    <row r="48" spans="1:7" ht="30.75">
      <c r="A48" s="66">
        <v>8.02</v>
      </c>
      <c r="B48" s="67" t="s">
        <v>105</v>
      </c>
      <c r="C48" s="56" t="s">
        <v>39</v>
      </c>
      <c r="D48" s="59" t="str">
        <f>IF(C48="y",VLOOKUP(LUT!C49,LUT!$C$4:$E$52,3),IF(C48="n",VLOOKUP(LUT!C49,LUT!$C$4:$E$52,2)," "))</f>
        <v xml:space="preserve"> </v>
      </c>
      <c r="E48" s="57"/>
      <c r="F48" s="64" t="s">
        <v>106</v>
      </c>
      <c r="G48" s="64" t="s">
        <v>107</v>
      </c>
    </row>
    <row r="49" spans="1:7" ht="45.75">
      <c r="A49" s="66">
        <v>8.0299999999999994</v>
      </c>
      <c r="B49" s="67" t="s">
        <v>108</v>
      </c>
      <c r="C49" s="56" t="s">
        <v>19</v>
      </c>
      <c r="D49" s="59">
        <f>IF(C49="y",VLOOKUP(LUT!C50,LUT!$C$4:$E$52,3),IF(C49="n",VLOOKUP(LUT!C50,LUT!$C$4:$E$52,2)," "))</f>
        <v>-1</v>
      </c>
      <c r="E49" s="57"/>
      <c r="F49" s="64" t="s">
        <v>109</v>
      </c>
      <c r="G49" s="64" t="s">
        <v>110</v>
      </c>
    </row>
    <row r="50" spans="1:7" ht="60.75">
      <c r="A50" s="66">
        <v>8.0399999999999991</v>
      </c>
      <c r="B50" s="67" t="s">
        <v>111</v>
      </c>
      <c r="C50" s="56" t="s">
        <v>19</v>
      </c>
      <c r="D50" s="59">
        <f>IF(C50="y",VLOOKUP(LUT!C51,LUT!$C$4:$E$52,3),IF(C50="n",VLOOKUP(LUT!C51,LUT!$C$4:$E$52,2)," "))</f>
        <v>1</v>
      </c>
      <c r="E50" s="57"/>
      <c r="F50" s="64" t="s">
        <v>112</v>
      </c>
      <c r="G50" s="64" t="s">
        <v>79</v>
      </c>
    </row>
    <row r="51" spans="1:7">
      <c r="A51" s="66">
        <v>8.0500000000000007</v>
      </c>
      <c r="B51" s="67" t="s">
        <v>113</v>
      </c>
      <c r="C51" s="56" t="s">
        <v>39</v>
      </c>
      <c r="D51" s="59" t="str">
        <f>IF(C51="y",VLOOKUP(LUT!C52,LUT!$C$4:$E$52,3),IF(C51="n",VLOOKUP(LUT!C52,LUT!$C$4:$E$52,2)," "))</f>
        <v xml:space="preserve"> </v>
      </c>
      <c r="E51" s="57"/>
      <c r="F51" s="64"/>
      <c r="G51" s="64"/>
    </row>
    <row r="52" spans="1:7" ht="15.75" thickBot="1">
      <c r="A52" s="87"/>
      <c r="B52" s="86"/>
      <c r="C52" s="56"/>
      <c r="D52" s="56"/>
      <c r="E52" s="57"/>
      <c r="F52" s="56"/>
      <c r="G52" s="56"/>
    </row>
    <row r="53" spans="1:7" ht="29.25" customHeight="1" thickTop="1">
      <c r="A53" s="56"/>
      <c r="B53" s="56"/>
      <c r="C53" s="69" t="s">
        <v>114</v>
      </c>
      <c r="D53" s="61">
        <f>SUM(D3:D51)</f>
        <v>18</v>
      </c>
      <c r="E53" s="62"/>
      <c r="F53" s="56"/>
      <c r="G53" s="56"/>
    </row>
    <row r="54" spans="1:7" ht="33" customHeight="1" thickBot="1">
      <c r="A54" s="56"/>
      <c r="B54" s="56"/>
      <c r="C54" s="70" t="s">
        <v>115</v>
      </c>
      <c r="D54" s="21" t="str">
        <f>IF(E60="no","more info needed",IF(D53&lt;1,"accept",IF(D53&gt;6,"reject","evaluate further")))</f>
        <v>reject</v>
      </c>
      <c r="E54" s="62"/>
      <c r="F54" s="56"/>
      <c r="G54" s="56"/>
    </row>
    <row r="55" spans="1:7" ht="16.5" thickTop="1" thickBot="1">
      <c r="A55" s="56"/>
      <c r="B55" s="56"/>
      <c r="C55" s="56"/>
      <c r="D55" s="56"/>
      <c r="E55" s="57"/>
      <c r="F55" s="56"/>
      <c r="G55" s="56"/>
    </row>
    <row r="56" spans="1:7" ht="46.5" thickTop="1" thickBot="1">
      <c r="A56" s="56"/>
      <c r="B56" s="22" t="s">
        <v>116</v>
      </c>
      <c r="C56" s="23" t="s">
        <v>117</v>
      </c>
      <c r="D56" s="19" t="s">
        <v>118</v>
      </c>
      <c r="E56" s="62"/>
      <c r="F56" s="63"/>
      <c r="G56" s="56"/>
    </row>
    <row r="57" spans="1:7" ht="15.75" thickTop="1">
      <c r="A57" s="56"/>
      <c r="B57" s="28" t="s">
        <v>119</v>
      </c>
      <c r="C57" s="24">
        <f>COUNTIF(C3:C15, "y")+COUNTIF(C3:C15, "n")+COUNTIF(C6:C7, "1")+COUNTIF(C6:C7, "2")+COUNTIF(C6:C7, "3")</f>
        <v>11</v>
      </c>
      <c r="D57" s="20" t="str">
        <f>IF(C57&gt;=2,"yes","no")</f>
        <v>yes</v>
      </c>
      <c r="E57" s="62"/>
      <c r="F57" s="56"/>
      <c r="G57" s="56"/>
    </row>
    <row r="58" spans="1:7">
      <c r="A58" s="56"/>
      <c r="B58" s="29" t="s">
        <v>120</v>
      </c>
      <c r="C58" s="24">
        <f>COUNTIF(C16:C27,"y")+COUNTIF(C16:C27,"n")</f>
        <v>11</v>
      </c>
      <c r="D58" s="20" t="str">
        <f>IF(C58&gt;=2,"yes","no")</f>
        <v>yes</v>
      </c>
      <c r="E58" s="62"/>
      <c r="F58" s="56"/>
      <c r="G58" s="56"/>
    </row>
    <row r="59" spans="1:7">
      <c r="A59" s="56"/>
      <c r="B59" s="28" t="s">
        <v>121</v>
      </c>
      <c r="C59" s="24">
        <f>COUNTIF(C28:C51,"y")+COUNTIF(C28:C51, "n")+COUNT(C28:C51)</f>
        <v>18</v>
      </c>
      <c r="D59" s="20" t="str">
        <f>IF(C59&gt;=6,"yes","no")</f>
        <v>yes</v>
      </c>
      <c r="E59" s="62"/>
      <c r="F59" s="56"/>
      <c r="G59" s="56"/>
    </row>
    <row r="60" spans="1:7" ht="15.75" thickBot="1">
      <c r="A60" s="56"/>
      <c r="B60" s="25" t="s">
        <v>122</v>
      </c>
      <c r="C60" s="26">
        <f>SUM(C57:C59)</f>
        <v>40</v>
      </c>
      <c r="D60" s="21" t="str">
        <f>IF(D57="no","no",IF(D58="no","no",IF(D59="no","no","yes")))</f>
        <v>yes</v>
      </c>
      <c r="E60" s="62"/>
      <c r="F60" s="56"/>
      <c r="G60" s="56"/>
    </row>
    <row r="61" spans="1:7" ht="15.75" thickTop="1">
      <c r="A61" s="56"/>
      <c r="B61" s="56"/>
      <c r="C61" s="56"/>
      <c r="D61" s="56"/>
      <c r="E61" s="57"/>
      <c r="F61" s="56"/>
      <c r="G61" s="56"/>
    </row>
    <row r="62" spans="1:7">
      <c r="A62" s="56"/>
      <c r="B62" s="56"/>
      <c r="C62" s="56"/>
      <c r="D62" s="56"/>
      <c r="E62" s="57"/>
      <c r="F62" s="56"/>
      <c r="G62" s="56"/>
    </row>
    <row r="63" spans="1:7" ht="15.75" thickBot="1">
      <c r="A63" s="56"/>
      <c r="B63" s="108" t="s">
        <v>123</v>
      </c>
      <c r="C63" s="108"/>
      <c r="D63" s="108"/>
      <c r="E63" s="62"/>
      <c r="F63" s="56"/>
      <c r="G63" s="56"/>
    </row>
    <row r="64" spans="1:7" ht="15.75" thickBot="1">
      <c r="A64" s="56"/>
      <c r="B64" s="109" t="s">
        <v>124</v>
      </c>
      <c r="C64" s="110"/>
      <c r="D64" s="111"/>
      <c r="E64" s="62"/>
      <c r="F64" s="56"/>
      <c r="G64" s="56"/>
    </row>
    <row r="65" spans="1:7">
      <c r="A65" s="56">
        <v>9.01</v>
      </c>
      <c r="B65" s="71" t="s">
        <v>125</v>
      </c>
      <c r="C65" s="112"/>
      <c r="D65" s="113"/>
      <c r="E65" s="62"/>
      <c r="F65" s="56"/>
      <c r="G65" s="56"/>
    </row>
    <row r="66" spans="1:7">
      <c r="A66" s="56">
        <v>9.02</v>
      </c>
      <c r="B66" s="71" t="s">
        <v>126</v>
      </c>
      <c r="C66" s="114"/>
      <c r="D66" s="115"/>
      <c r="E66" s="62"/>
      <c r="F66" s="56"/>
      <c r="G66" s="56"/>
    </row>
    <row r="67" spans="1:7">
      <c r="A67" s="56">
        <v>9.0299999999999994</v>
      </c>
      <c r="B67" s="71" t="s">
        <v>127</v>
      </c>
      <c r="C67" s="106"/>
      <c r="D67" s="107"/>
      <c r="E67" s="62"/>
      <c r="F67" s="56"/>
      <c r="G67" s="56"/>
    </row>
    <row r="68" spans="1:7">
      <c r="A68" s="56">
        <v>9.0399999999999991</v>
      </c>
      <c r="B68" s="71" t="s">
        <v>128</v>
      </c>
      <c r="C68" s="106"/>
      <c r="D68" s="107"/>
      <c r="E68" s="62"/>
      <c r="F68" s="56"/>
      <c r="G68" s="56"/>
    </row>
    <row r="69" spans="1:7">
      <c r="A69" s="56">
        <v>9.0500000000000007</v>
      </c>
      <c r="B69" s="71" t="s">
        <v>129</v>
      </c>
      <c r="C69" s="106"/>
      <c r="D69" s="107"/>
      <c r="E69" s="62"/>
      <c r="F69" s="56"/>
      <c r="G69" s="56"/>
    </row>
    <row r="70" spans="1:7">
      <c r="A70" s="56">
        <v>9.06</v>
      </c>
      <c r="B70" s="71" t="s">
        <v>130</v>
      </c>
      <c r="C70" s="106"/>
      <c r="D70" s="107"/>
      <c r="E70" s="62"/>
      <c r="F70" s="56"/>
      <c r="G70" s="56"/>
    </row>
    <row r="71" spans="1:7">
      <c r="A71" s="56">
        <v>9.07</v>
      </c>
      <c r="B71" s="71" t="s">
        <v>131</v>
      </c>
      <c r="C71" s="94"/>
      <c r="D71" s="97" t="str">
        <f>IF(C71="yes", IF(OR(C65="?", C66="?", C67="no", C67="?"), "eval.", IF(AND(C65="yes", C66="yes", C67="yes"), "reject", IF(OR(C65="no", C66="no"), "accept", " ")))," ")</f>
        <v xml:space="preserve"> </v>
      </c>
      <c r="E71" s="62"/>
      <c r="F71" s="56"/>
      <c r="G71" s="56"/>
    </row>
    <row r="72" spans="1:7">
      <c r="A72" s="56">
        <v>9.08</v>
      </c>
      <c r="B72" s="71" t="s">
        <v>132</v>
      </c>
      <c r="C72" s="92"/>
      <c r="D72" s="89" t="str">
        <f>IF(C71="yes","STOP",IF(C72="yes",IF(C68="no","accept",IF(AND(C68="yes",OR(C69="yes",C70="yes")),"reject",IF(OR(C68="?",C69="?",C70="?",C69="no",C70="no"),"eval.",""))), ""))</f>
        <v/>
      </c>
      <c r="E72" s="62"/>
      <c r="F72" s="56"/>
      <c r="G72" s="56"/>
    </row>
    <row r="73" spans="1:7" ht="15.75" thickBot="1">
      <c r="A73" s="56">
        <v>9.09</v>
      </c>
      <c r="B73" s="91" t="s">
        <v>133</v>
      </c>
      <c r="C73" s="93"/>
      <c r="D73" s="90" t="str">
        <f>IF(OR(C71="yes",C72="yes"),"STOP",IF(C73="yes",IF(AND(LUT!I26="accept",LUT!I27="accept"),"accept",IF(AND(LUT!I26="eval.",LUT!I27="eval."),"eval.",IF(OR(LUT!I26="reject",LUT!I27="reject"),"reject",""))),""))</f>
        <v/>
      </c>
      <c r="E73" s="62"/>
      <c r="F73" s="56"/>
      <c r="G73" s="56"/>
    </row>
    <row r="74" spans="1:7" ht="15.75" thickBot="1">
      <c r="A74" s="56"/>
      <c r="B74" s="72" t="s">
        <v>134</v>
      </c>
      <c r="C74" s="104" t="str">
        <f>IF(OR(D71="accept", D72="accept", D73="accept"), "Accept", IF(OR(D71="eval.", D72="eval.", D73="eval."), "Evaluate Further", IF(OR(D71="reject", D72="reject",D73="reject"), "Reject", "")))</f>
        <v/>
      </c>
      <c r="D74" s="105"/>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75" thickBot="1"/>
    <row r="2" spans="2:18" ht="15.75" thickBot="1">
      <c r="B2" t="s">
        <v>135</v>
      </c>
      <c r="H2" s="116" t="s">
        <v>136</v>
      </c>
      <c r="I2" s="117"/>
      <c r="J2" s="117"/>
      <c r="K2" s="117"/>
      <c r="L2" s="117"/>
      <c r="M2" s="117"/>
      <c r="N2" s="117"/>
      <c r="O2" s="117"/>
      <c r="P2" s="117"/>
      <c r="Q2" s="117"/>
      <c r="R2" s="118"/>
    </row>
    <row r="3" spans="2:18">
      <c r="B3" s="1" t="s">
        <v>116</v>
      </c>
      <c r="C3" s="2" t="s">
        <v>4</v>
      </c>
      <c r="D3" s="2" t="s">
        <v>137</v>
      </c>
      <c r="E3" s="3" t="s">
        <v>138</v>
      </c>
      <c r="H3" s="148" t="s">
        <v>139</v>
      </c>
      <c r="I3" s="149"/>
      <c r="J3" s="149"/>
      <c r="K3" s="149"/>
      <c r="L3" s="149"/>
      <c r="M3" s="149"/>
      <c r="N3" s="149"/>
      <c r="O3" s="149"/>
      <c r="P3" s="149"/>
      <c r="Q3" s="149"/>
      <c r="R3" s="150"/>
    </row>
    <row r="4" spans="2:18">
      <c r="B4" s="4" t="s">
        <v>140</v>
      </c>
      <c r="C4">
        <v>1.01</v>
      </c>
      <c r="D4">
        <v>0</v>
      </c>
      <c r="E4" s="5">
        <v>-3</v>
      </c>
      <c r="H4" s="138" t="s">
        <v>141</v>
      </c>
      <c r="I4" s="139"/>
      <c r="J4" s="139"/>
      <c r="K4" s="139"/>
      <c r="L4" s="139"/>
      <c r="M4" s="139"/>
      <c r="N4" s="139"/>
      <c r="O4" s="139"/>
      <c r="P4" s="139"/>
      <c r="Q4" s="139"/>
      <c r="R4" s="16" t="s">
        <v>142</v>
      </c>
    </row>
    <row r="5" spans="2:18">
      <c r="B5" s="4" t="s">
        <v>121</v>
      </c>
      <c r="C5">
        <v>1.02</v>
      </c>
      <c r="D5">
        <v>-1</v>
      </c>
      <c r="E5" s="5">
        <v>1</v>
      </c>
      <c r="H5" s="138" t="s">
        <v>143</v>
      </c>
      <c r="I5" s="10">
        <v>2.0099999999999998</v>
      </c>
      <c r="J5" s="10">
        <v>1</v>
      </c>
      <c r="K5" s="10">
        <v>1</v>
      </c>
      <c r="L5" s="10">
        <v>1</v>
      </c>
      <c r="M5" s="10">
        <v>2</v>
      </c>
      <c r="N5" s="10">
        <v>2</v>
      </c>
      <c r="O5" s="10">
        <v>2</v>
      </c>
      <c r="P5" s="10">
        <v>3</v>
      </c>
      <c r="Q5" s="10">
        <v>3</v>
      </c>
      <c r="R5" s="11">
        <v>3</v>
      </c>
    </row>
    <row r="6" spans="2:18">
      <c r="B6" s="4" t="s">
        <v>121</v>
      </c>
      <c r="C6">
        <v>1.03</v>
      </c>
      <c r="D6">
        <v>-1</v>
      </c>
      <c r="E6" s="5">
        <v>1</v>
      </c>
      <c r="H6" s="138"/>
      <c r="I6" s="10">
        <v>2.02</v>
      </c>
      <c r="J6" s="10">
        <v>1</v>
      </c>
      <c r="K6" s="10">
        <v>2</v>
      </c>
      <c r="L6" s="10">
        <v>3</v>
      </c>
      <c r="M6" s="10">
        <v>1</v>
      </c>
      <c r="N6" s="10">
        <v>2</v>
      </c>
      <c r="O6" s="10">
        <v>3</v>
      </c>
      <c r="P6" s="10">
        <v>1</v>
      </c>
      <c r="Q6" s="10">
        <v>2</v>
      </c>
      <c r="R6" s="11">
        <v>3</v>
      </c>
    </row>
    <row r="7" spans="2:18">
      <c r="B7" s="4"/>
      <c r="C7">
        <v>2.0099999999999998</v>
      </c>
      <c r="D7" s="126" t="s">
        <v>144</v>
      </c>
      <c r="E7" s="127"/>
      <c r="H7" s="121" t="s">
        <v>145</v>
      </c>
      <c r="I7" s="10">
        <v>3.01</v>
      </c>
      <c r="J7" s="10">
        <v>2</v>
      </c>
      <c r="K7" s="10">
        <v>1</v>
      </c>
      <c r="L7" s="10">
        <v>1</v>
      </c>
      <c r="M7" s="10">
        <v>2</v>
      </c>
      <c r="N7" s="10">
        <v>2</v>
      </c>
      <c r="O7" s="10">
        <v>1</v>
      </c>
      <c r="P7" s="10">
        <v>2</v>
      </c>
      <c r="Q7" s="10">
        <v>2</v>
      </c>
      <c r="R7" s="11">
        <v>2</v>
      </c>
    </row>
    <row r="8" spans="2:18">
      <c r="B8" s="4"/>
      <c r="C8">
        <v>2.02</v>
      </c>
      <c r="D8" s="128"/>
      <c r="E8" s="129"/>
      <c r="H8" s="121"/>
      <c r="I8" s="10">
        <v>3.02</v>
      </c>
      <c r="J8" s="10">
        <v>2</v>
      </c>
      <c r="K8" s="10">
        <v>1</v>
      </c>
      <c r="L8" s="10">
        <v>1</v>
      </c>
      <c r="M8" s="10">
        <v>2</v>
      </c>
      <c r="N8" s="10">
        <v>2</v>
      </c>
      <c r="O8" s="10">
        <v>1</v>
      </c>
      <c r="P8" s="10">
        <v>2</v>
      </c>
      <c r="Q8" s="10">
        <v>2</v>
      </c>
      <c r="R8" s="11">
        <v>2</v>
      </c>
    </row>
    <row r="9" spans="2:18">
      <c r="B9" s="4" t="s">
        <v>121</v>
      </c>
      <c r="C9">
        <v>2.0299999999999998</v>
      </c>
      <c r="D9">
        <v>0</v>
      </c>
      <c r="E9" s="5">
        <v>1</v>
      </c>
      <c r="H9" s="121"/>
      <c r="I9" s="10">
        <v>3.03</v>
      </c>
      <c r="J9" s="10">
        <v>4</v>
      </c>
      <c r="K9" s="10">
        <v>2</v>
      </c>
      <c r="L9" s="10">
        <v>1</v>
      </c>
      <c r="M9" s="10">
        <v>4</v>
      </c>
      <c r="N9" s="10">
        <v>3</v>
      </c>
      <c r="O9" s="10">
        <v>2</v>
      </c>
      <c r="P9" s="10">
        <v>4</v>
      </c>
      <c r="Q9" s="10">
        <v>4</v>
      </c>
      <c r="R9" s="11">
        <v>4</v>
      </c>
    </row>
    <row r="10" spans="2:18">
      <c r="B10" s="4" t="s">
        <v>121</v>
      </c>
      <c r="C10">
        <v>2.04</v>
      </c>
      <c r="D10">
        <v>0</v>
      </c>
      <c r="E10" s="5">
        <v>1</v>
      </c>
      <c r="H10" s="121"/>
      <c r="I10" s="10">
        <v>3.04</v>
      </c>
      <c r="J10" s="10">
        <v>4</v>
      </c>
      <c r="K10" s="10">
        <v>2</v>
      </c>
      <c r="L10" s="10">
        <v>1</v>
      </c>
      <c r="M10" s="10">
        <v>4</v>
      </c>
      <c r="N10" s="10">
        <v>3</v>
      </c>
      <c r="O10" s="10">
        <v>2</v>
      </c>
      <c r="P10" s="10">
        <v>4</v>
      </c>
      <c r="Q10" s="10">
        <v>4</v>
      </c>
      <c r="R10" s="11">
        <v>4</v>
      </c>
    </row>
    <row r="11" spans="2:18">
      <c r="B11" s="4"/>
      <c r="C11">
        <v>2.0499999999999998</v>
      </c>
      <c r="E11" s="5"/>
      <c r="H11" s="121"/>
      <c r="I11" s="10">
        <v>3.05</v>
      </c>
      <c r="J11" s="10">
        <v>2</v>
      </c>
      <c r="K11" s="10">
        <v>1</v>
      </c>
      <c r="L11" s="10">
        <v>1</v>
      </c>
      <c r="M11" s="10">
        <v>2</v>
      </c>
      <c r="N11" s="10">
        <v>2</v>
      </c>
      <c r="O11" s="10">
        <v>1</v>
      </c>
      <c r="P11" s="10">
        <v>2</v>
      </c>
      <c r="Q11" s="10">
        <v>2</v>
      </c>
      <c r="R11" s="11">
        <v>2</v>
      </c>
    </row>
    <row r="12" spans="2:18">
      <c r="B12" s="4" t="s">
        <v>121</v>
      </c>
      <c r="C12">
        <v>3.01</v>
      </c>
      <c r="D12" s="130" t="s">
        <v>146</v>
      </c>
      <c r="E12" s="131"/>
      <c r="H12" s="119" t="s">
        <v>147</v>
      </c>
      <c r="I12" s="120"/>
      <c r="J12" s="120"/>
      <c r="K12" s="120"/>
      <c r="L12" s="120"/>
      <c r="M12" s="120"/>
      <c r="N12" s="120"/>
      <c r="O12" s="120"/>
      <c r="P12" s="120"/>
      <c r="Q12" s="120"/>
      <c r="R12" s="123"/>
    </row>
    <row r="13" spans="2:18">
      <c r="B13" s="4" t="s">
        <v>148</v>
      </c>
      <c r="C13">
        <v>3.02</v>
      </c>
      <c r="D13" s="132"/>
      <c r="E13" s="133"/>
      <c r="H13" s="4" t="s">
        <v>149</v>
      </c>
      <c r="I13" s="10">
        <v>2.0499999999999998</v>
      </c>
      <c r="J13" s="10" t="s">
        <v>39</v>
      </c>
      <c r="K13" s="10" t="s">
        <v>150</v>
      </c>
      <c r="L13" s="10" t="s">
        <v>151</v>
      </c>
      <c r="M13" s="120"/>
      <c r="N13" s="120"/>
      <c r="O13" s="120"/>
      <c r="P13" s="120"/>
      <c r="Q13" s="120"/>
      <c r="R13" s="123"/>
    </row>
    <row r="14" spans="2:18">
      <c r="B14" s="4" t="s">
        <v>119</v>
      </c>
      <c r="C14">
        <v>3.03</v>
      </c>
      <c r="D14" s="132"/>
      <c r="E14" s="133"/>
      <c r="H14" s="121" t="s">
        <v>145</v>
      </c>
      <c r="I14" s="10">
        <v>3.01</v>
      </c>
      <c r="J14" s="10">
        <v>-1</v>
      </c>
      <c r="K14" s="10">
        <v>0</v>
      </c>
      <c r="L14" s="10">
        <v>-2</v>
      </c>
      <c r="M14" s="120"/>
      <c r="N14" s="120"/>
      <c r="O14" s="120"/>
      <c r="P14" s="120"/>
      <c r="Q14" s="120"/>
      <c r="R14" s="123"/>
    </row>
    <row r="15" spans="2:18" ht="15.75" thickBot="1">
      <c r="B15" s="4" t="s">
        <v>148</v>
      </c>
      <c r="C15">
        <v>3.04</v>
      </c>
      <c r="D15" s="132"/>
      <c r="E15" s="133"/>
      <c r="H15" s="122"/>
      <c r="I15" s="13" t="s">
        <v>152</v>
      </c>
      <c r="J15" s="13">
        <v>0</v>
      </c>
      <c r="K15" s="13">
        <v>0</v>
      </c>
      <c r="L15" s="13">
        <v>0</v>
      </c>
      <c r="M15" s="124"/>
      <c r="N15" s="124"/>
      <c r="O15" s="124"/>
      <c r="P15" s="124"/>
      <c r="Q15" s="124"/>
      <c r="R15" s="125"/>
    </row>
    <row r="16" spans="2:18">
      <c r="B16" s="4" t="s">
        <v>121</v>
      </c>
      <c r="C16">
        <v>3.05</v>
      </c>
      <c r="D16" s="134"/>
      <c r="E16" s="135"/>
    </row>
    <row r="17" spans="2:11">
      <c r="B17" s="4" t="s">
        <v>153</v>
      </c>
      <c r="C17">
        <v>4.01</v>
      </c>
      <c r="D17">
        <v>0</v>
      </c>
      <c r="E17" s="5">
        <v>1</v>
      </c>
    </row>
    <row r="18" spans="2:11" ht="15.75" thickBot="1">
      <c r="B18" s="4" t="s">
        <v>121</v>
      </c>
      <c r="C18">
        <v>4.0199999999999996</v>
      </c>
      <c r="D18">
        <v>0</v>
      </c>
      <c r="E18" s="5">
        <v>1</v>
      </c>
    </row>
    <row r="19" spans="2:11">
      <c r="B19" s="4" t="s">
        <v>121</v>
      </c>
      <c r="C19">
        <v>4.03</v>
      </c>
      <c r="D19">
        <v>0</v>
      </c>
      <c r="E19" s="5">
        <v>1</v>
      </c>
      <c r="H19" s="116" t="s">
        <v>154</v>
      </c>
      <c r="I19" s="117"/>
      <c r="J19" s="117"/>
      <c r="K19" s="118"/>
    </row>
    <row r="20" spans="2:11">
      <c r="B20" s="4" t="s">
        <v>119</v>
      </c>
      <c r="C20">
        <v>4.04</v>
      </c>
      <c r="D20">
        <v>-1</v>
      </c>
      <c r="E20" s="5">
        <v>1</v>
      </c>
      <c r="H20" s="4" t="s">
        <v>155</v>
      </c>
      <c r="I20" s="12">
        <v>1</v>
      </c>
      <c r="J20" s="12">
        <v>2</v>
      </c>
      <c r="K20" s="9">
        <v>4</v>
      </c>
    </row>
    <row r="21" spans="2:11" ht="15.75" thickBot="1">
      <c r="B21" s="4" t="s">
        <v>121</v>
      </c>
      <c r="C21">
        <v>4.05</v>
      </c>
      <c r="D21">
        <v>0</v>
      </c>
      <c r="E21" s="5">
        <v>1</v>
      </c>
      <c r="H21" s="6" t="s">
        <v>6</v>
      </c>
      <c r="I21" s="14">
        <v>1</v>
      </c>
      <c r="J21" s="14">
        <v>0</v>
      </c>
      <c r="K21" s="15">
        <v>-1</v>
      </c>
    </row>
    <row r="22" spans="2:11">
      <c r="B22" s="4" t="s">
        <v>121</v>
      </c>
      <c r="C22">
        <v>4.0599999999999996</v>
      </c>
      <c r="D22">
        <v>0</v>
      </c>
      <c r="E22" s="5">
        <v>1</v>
      </c>
    </row>
    <row r="23" spans="2:11">
      <c r="B23" s="4" t="s">
        <v>121</v>
      </c>
      <c r="C23">
        <v>4.07</v>
      </c>
      <c r="D23">
        <v>0</v>
      </c>
      <c r="E23" s="5">
        <v>1</v>
      </c>
    </row>
    <row r="24" spans="2:11" ht="15.75" thickBot="1">
      <c r="B24" s="4" t="s">
        <v>148</v>
      </c>
      <c r="C24">
        <v>4.08</v>
      </c>
      <c r="D24">
        <v>0</v>
      </c>
      <c r="E24" s="5">
        <v>1</v>
      </c>
    </row>
    <row r="25" spans="2:11">
      <c r="B25" s="4" t="s">
        <v>148</v>
      </c>
      <c r="C25">
        <v>4.09</v>
      </c>
      <c r="D25">
        <v>0</v>
      </c>
      <c r="E25" s="5">
        <v>1</v>
      </c>
      <c r="H25" s="140" t="s">
        <v>156</v>
      </c>
      <c r="I25" s="141"/>
      <c r="J25" s="141"/>
      <c r="K25" s="142"/>
    </row>
    <row r="26" spans="2:11">
      <c r="B26" s="4" t="s">
        <v>148</v>
      </c>
      <c r="C26">
        <v>4.0999999999999996</v>
      </c>
      <c r="D26">
        <v>0</v>
      </c>
      <c r="E26" s="5">
        <v>1</v>
      </c>
      <c r="H26" s="95" t="s">
        <v>157</v>
      </c>
      <c r="I26" s="151" t="str">
        <f>IF(OR('WRA Worksheet'!C65="?",'WRA Worksheet'!C66="?",'WRA Worksheet'!C67="?",'WRA Worksheet'!C67="no"),"eval.",IF(AND('WRA Worksheet'!C65="yes",'WRA Worksheet'!C66="yes",'WRA Worksheet'!C67="yes"),"reject",IF(OR('WRA Worksheet'!C65="no",'WRA Worksheet'!C66="no"),"accept","")))</f>
        <v/>
      </c>
      <c r="J26" s="151"/>
      <c r="K26" s="152"/>
    </row>
    <row r="27" spans="2:11" ht="15.75" thickBot="1">
      <c r="B27" s="4" t="s">
        <v>148</v>
      </c>
      <c r="C27">
        <v>4.1100000000000003</v>
      </c>
      <c r="D27">
        <v>0</v>
      </c>
      <c r="E27" s="5">
        <v>1</v>
      </c>
      <c r="H27" s="96" t="s">
        <v>158</v>
      </c>
      <c r="I27" s="153" t="str">
        <f>IF('WRA Worksheet'!C68="no","accept",IF(AND('WRA Worksheet'!C68="yes",OR('WRA Worksheet'!C69="yes",'WRA Worksheet'!C70="yes")),"reject",IF(OR('WRA Worksheet'!C68="?",'WRA Worksheet'!C69="?",'WRA Worksheet'!C70="?",'WRA Worksheet'!C69="no",'WRA Worksheet'!C70="no"),"eval.","")))</f>
        <v/>
      </c>
      <c r="J27" s="153"/>
      <c r="K27" s="154"/>
    </row>
    <row r="28" spans="2:11">
      <c r="B28" s="4" t="s">
        <v>121</v>
      </c>
      <c r="C28">
        <v>4.12</v>
      </c>
      <c r="D28">
        <v>0</v>
      </c>
      <c r="E28" s="5">
        <v>1</v>
      </c>
    </row>
    <row r="29" spans="2:11">
      <c r="B29" s="4" t="s">
        <v>159</v>
      </c>
      <c r="C29">
        <v>5.01</v>
      </c>
      <c r="D29">
        <v>0</v>
      </c>
      <c r="E29" s="5">
        <v>5</v>
      </c>
    </row>
    <row r="30" spans="2:11">
      <c r="B30" s="4" t="s">
        <v>121</v>
      </c>
      <c r="C30">
        <v>5.0199999999999996</v>
      </c>
      <c r="D30">
        <v>0</v>
      </c>
      <c r="E30" s="5">
        <v>1</v>
      </c>
    </row>
    <row r="31" spans="2:11">
      <c r="B31" s="4" t="s">
        <v>148</v>
      </c>
      <c r="C31">
        <v>5.03</v>
      </c>
      <c r="D31">
        <v>0</v>
      </c>
      <c r="E31" s="5">
        <v>1</v>
      </c>
    </row>
    <row r="32" spans="2:11">
      <c r="B32" s="4" t="s">
        <v>121</v>
      </c>
      <c r="C32">
        <v>5.04</v>
      </c>
      <c r="D32">
        <v>0</v>
      </c>
      <c r="E32" s="5">
        <v>1</v>
      </c>
    </row>
    <row r="33" spans="2:5">
      <c r="B33" s="4" t="s">
        <v>121</v>
      </c>
      <c r="C33">
        <v>6.01</v>
      </c>
      <c r="D33">
        <v>0</v>
      </c>
      <c r="E33" s="5">
        <v>1</v>
      </c>
    </row>
    <row r="34" spans="2:5">
      <c r="B34" s="4" t="s">
        <v>121</v>
      </c>
      <c r="C34">
        <v>6.02</v>
      </c>
      <c r="D34">
        <v>-1</v>
      </c>
      <c r="E34" s="5">
        <v>1</v>
      </c>
    </row>
    <row r="35" spans="2:5">
      <c r="B35" s="4" t="s">
        <v>119</v>
      </c>
      <c r="C35">
        <v>6.03</v>
      </c>
      <c r="D35">
        <v>-1</v>
      </c>
      <c r="E35" s="5">
        <v>1</v>
      </c>
    </row>
    <row r="36" spans="2:5">
      <c r="B36" s="4" t="s">
        <v>121</v>
      </c>
      <c r="C36">
        <v>6.04</v>
      </c>
      <c r="D36">
        <v>-1</v>
      </c>
      <c r="E36" s="5">
        <v>1</v>
      </c>
    </row>
    <row r="37" spans="2:5">
      <c r="B37" s="4" t="s">
        <v>121</v>
      </c>
      <c r="C37">
        <v>6.05</v>
      </c>
      <c r="D37">
        <v>0</v>
      </c>
      <c r="E37" s="5">
        <v>-1</v>
      </c>
    </row>
    <row r="38" spans="2:5">
      <c r="B38" s="4" t="s">
        <v>119</v>
      </c>
      <c r="C38">
        <v>6.06</v>
      </c>
      <c r="D38">
        <v>-1</v>
      </c>
      <c r="E38" s="5">
        <v>1</v>
      </c>
    </row>
    <row r="39" spans="2:5">
      <c r="B39" s="4" t="s">
        <v>121</v>
      </c>
      <c r="C39">
        <v>6.07</v>
      </c>
      <c r="D39" s="136" t="s">
        <v>160</v>
      </c>
      <c r="E39" s="137"/>
    </row>
    <row r="40" spans="2:5">
      <c r="B40" s="4" t="s">
        <v>119</v>
      </c>
      <c r="C40">
        <v>7.01</v>
      </c>
      <c r="D40">
        <v>-1</v>
      </c>
      <c r="E40" s="5">
        <v>1</v>
      </c>
    </row>
    <row r="41" spans="2:5">
      <c r="B41" s="4" t="s">
        <v>121</v>
      </c>
      <c r="C41">
        <v>7.02</v>
      </c>
      <c r="D41">
        <v>-1</v>
      </c>
      <c r="E41" s="5">
        <v>1</v>
      </c>
    </row>
    <row r="42" spans="2:5">
      <c r="B42" s="4" t="s">
        <v>119</v>
      </c>
      <c r="C42">
        <v>7.03</v>
      </c>
      <c r="D42">
        <v>-1</v>
      </c>
      <c r="E42" s="5">
        <v>1</v>
      </c>
    </row>
    <row r="43" spans="2:5">
      <c r="B43" s="4" t="s">
        <v>121</v>
      </c>
      <c r="C43">
        <v>7.04</v>
      </c>
      <c r="D43">
        <v>-1</v>
      </c>
      <c r="E43" s="5">
        <v>1</v>
      </c>
    </row>
    <row r="44" spans="2:5">
      <c r="B44" s="4" t="s">
        <v>148</v>
      </c>
      <c r="C44">
        <v>7.05</v>
      </c>
      <c r="D44">
        <v>-1</v>
      </c>
      <c r="E44" s="5">
        <v>1</v>
      </c>
    </row>
    <row r="45" spans="2:5">
      <c r="B45" s="4" t="s">
        <v>148</v>
      </c>
      <c r="C45">
        <v>7.06</v>
      </c>
      <c r="D45">
        <v>-1</v>
      </c>
      <c r="E45" s="5">
        <v>1</v>
      </c>
    </row>
    <row r="46" spans="2:5">
      <c r="B46" s="4" t="s">
        <v>121</v>
      </c>
      <c r="C46">
        <v>7.07</v>
      </c>
      <c r="D46">
        <v>-1</v>
      </c>
      <c r="E46" s="5">
        <v>1</v>
      </c>
    </row>
    <row r="47" spans="2:5">
      <c r="B47" s="4" t="s">
        <v>121</v>
      </c>
      <c r="C47">
        <v>7.08</v>
      </c>
      <c r="D47">
        <v>-1</v>
      </c>
      <c r="E47" s="5">
        <v>1</v>
      </c>
    </row>
    <row r="48" spans="2:5">
      <c r="B48" s="4" t="s">
        <v>121</v>
      </c>
      <c r="C48">
        <v>8.01</v>
      </c>
      <c r="D48">
        <v>-1</v>
      </c>
      <c r="E48" s="5">
        <v>1</v>
      </c>
    </row>
    <row r="49" spans="2:5">
      <c r="B49" s="4" t="s">
        <v>121</v>
      </c>
      <c r="C49">
        <v>8.02</v>
      </c>
      <c r="D49">
        <v>-1</v>
      </c>
      <c r="E49" s="5">
        <v>1</v>
      </c>
    </row>
    <row r="50" spans="2:5">
      <c r="B50" s="4" t="s">
        <v>119</v>
      </c>
      <c r="C50">
        <v>8.0299999999999994</v>
      </c>
      <c r="D50">
        <v>1</v>
      </c>
      <c r="E50" s="5">
        <v>-1</v>
      </c>
    </row>
    <row r="51" spans="2:5">
      <c r="B51" s="4" t="s">
        <v>119</v>
      </c>
      <c r="C51">
        <v>8.0399999999999991</v>
      </c>
      <c r="D51">
        <v>-1</v>
      </c>
      <c r="E51" s="5">
        <v>1</v>
      </c>
    </row>
    <row r="52" spans="2:5">
      <c r="B52" s="4" t="s">
        <v>121</v>
      </c>
      <c r="C52">
        <v>8.0500000000000007</v>
      </c>
      <c r="D52">
        <v>1</v>
      </c>
      <c r="E52" s="5">
        <v>-1</v>
      </c>
    </row>
    <row r="53" spans="2:5">
      <c r="B53" s="4"/>
      <c r="E53" s="5"/>
    </row>
    <row r="54" spans="2:5" ht="15.7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6" t="str">
        <f>'WRA Worksheet'!F1</f>
        <v>Assessment date: April 22, 2025  Prepared by Seokmin Kim</v>
      </c>
      <c r="B1" s="147"/>
      <c r="C1" s="147"/>
      <c r="D1" s="98" t="s">
        <v>161</v>
      </c>
    </row>
    <row r="2" spans="1:4" ht="18.75">
      <c r="A2" s="143" t="s">
        <v>162</v>
      </c>
      <c r="B2" s="144"/>
      <c r="C2" s="73" t="s">
        <v>5</v>
      </c>
      <c r="D2" s="73" t="s">
        <v>6</v>
      </c>
    </row>
    <row r="3" spans="1:4">
      <c r="A3" s="74">
        <v>1.01</v>
      </c>
      <c r="B3" s="75" t="s">
        <v>10</v>
      </c>
      <c r="C3" s="76" t="str">
        <f>'WRA Worksheet'!C3</f>
        <v>n</v>
      </c>
      <c r="D3" s="82">
        <f>'WRA Worksheet'!D3</f>
        <v>0</v>
      </c>
    </row>
    <row r="4" spans="1:4">
      <c r="A4" s="74">
        <v>1.02</v>
      </c>
      <c r="B4" s="75" t="s">
        <v>13</v>
      </c>
      <c r="C4" s="76">
        <f>'WRA Worksheet'!C4</f>
        <v>0</v>
      </c>
      <c r="D4" s="82" t="str">
        <f>'WRA Worksheet'!D4</f>
        <v xml:space="preserve"> </v>
      </c>
    </row>
    <row r="5" spans="1:4">
      <c r="A5" s="74">
        <v>1.03</v>
      </c>
      <c r="B5" s="75" t="s">
        <v>14</v>
      </c>
      <c r="C5" s="76">
        <f>'WRA Worksheet'!C5</f>
        <v>0</v>
      </c>
      <c r="D5" s="82" t="str">
        <f>'WRA Worksheet'!D5</f>
        <v xml:space="preserve"> </v>
      </c>
    </row>
    <row r="6" spans="1:4" ht="48">
      <c r="A6" s="74">
        <v>2.0099999999999998</v>
      </c>
      <c r="B6" s="77" t="s">
        <v>163</v>
      </c>
      <c r="C6" s="76">
        <f>'WRA Worksheet'!C6</f>
        <v>3</v>
      </c>
      <c r="D6" s="83"/>
    </row>
    <row r="7" spans="1:4">
      <c r="A7" s="74">
        <v>2.02</v>
      </c>
      <c r="B7" s="75" t="s">
        <v>164</v>
      </c>
      <c r="C7" s="76">
        <f>'WRA Worksheet'!C7</f>
        <v>3</v>
      </c>
      <c r="D7" s="83"/>
    </row>
    <row r="8" spans="1:4">
      <c r="A8" s="74">
        <v>2.0299999999999998</v>
      </c>
      <c r="B8" s="75" t="s">
        <v>18</v>
      </c>
      <c r="C8" s="76" t="str">
        <f>'WRA Worksheet'!C8</f>
        <v>y</v>
      </c>
      <c r="D8" s="82">
        <f>'WRA Worksheet'!D8</f>
        <v>1</v>
      </c>
    </row>
    <row r="9" spans="1:4" ht="48">
      <c r="A9" s="74">
        <v>2.04</v>
      </c>
      <c r="B9" s="78" t="s">
        <v>20</v>
      </c>
      <c r="C9" s="76" t="str">
        <f>'WRA Worksheet'!C9</f>
        <v>y</v>
      </c>
      <c r="D9" s="82">
        <f>'WRA Worksheet'!D9</f>
        <v>1</v>
      </c>
    </row>
    <row r="10" spans="1:4" ht="30">
      <c r="A10" s="74">
        <v>2.0499999999999998</v>
      </c>
      <c r="B10" s="75" t="s">
        <v>21</v>
      </c>
      <c r="C10" s="79" t="str">
        <f>'WRA Worksheet'!C10</f>
        <v>y</v>
      </c>
      <c r="D10" s="83"/>
    </row>
    <row r="11" spans="1:4">
      <c r="A11" s="74">
        <v>3.01</v>
      </c>
      <c r="B11" s="75" t="s">
        <v>24</v>
      </c>
      <c r="C11" s="76" t="str">
        <f>'WRA Worksheet'!C11</f>
        <v>y</v>
      </c>
      <c r="D11" s="82">
        <f>'WRA Worksheet'!D11</f>
        <v>2</v>
      </c>
    </row>
    <row r="12" spans="1:4">
      <c r="A12" s="74">
        <v>3.02</v>
      </c>
      <c r="B12" s="75" t="s">
        <v>27</v>
      </c>
      <c r="C12" s="76" t="str">
        <f>'WRA Worksheet'!C12</f>
        <v>y</v>
      </c>
      <c r="D12" s="82">
        <f>'WRA Worksheet'!D12</f>
        <v>2</v>
      </c>
    </row>
    <row r="13" spans="1:4">
      <c r="A13" s="74">
        <v>3.03</v>
      </c>
      <c r="B13" s="75" t="s">
        <v>30</v>
      </c>
      <c r="C13" s="76" t="str">
        <f>'WRA Worksheet'!C13</f>
        <v>n</v>
      </c>
      <c r="D13" s="82">
        <f>'WRA Worksheet'!D13</f>
        <v>0</v>
      </c>
    </row>
    <row r="14" spans="1:4">
      <c r="A14" s="74">
        <v>3.04</v>
      </c>
      <c r="B14" s="75" t="s">
        <v>31</v>
      </c>
      <c r="C14" s="76" t="str">
        <f>'WRA Worksheet'!C14</f>
        <v>y</v>
      </c>
      <c r="D14" s="82">
        <f>'WRA Worksheet'!D14</f>
        <v>4</v>
      </c>
    </row>
    <row r="15" spans="1:4">
      <c r="A15" s="74">
        <v>3.05</v>
      </c>
      <c r="B15" s="75" t="s">
        <v>34</v>
      </c>
      <c r="C15" s="76" t="str">
        <f>'WRA Worksheet'!C15</f>
        <v>y</v>
      </c>
      <c r="D15" s="82">
        <f>'WRA Worksheet'!D15</f>
        <v>2</v>
      </c>
    </row>
    <row r="16" spans="1:4">
      <c r="A16" s="74">
        <v>4.01</v>
      </c>
      <c r="B16" s="75" t="s">
        <v>37</v>
      </c>
      <c r="C16" s="76" t="str">
        <f>'WRA Worksheet'!C16</f>
        <v>n</v>
      </c>
      <c r="D16" s="82">
        <f>'WRA Worksheet'!D16</f>
        <v>0</v>
      </c>
    </row>
    <row r="17" spans="1:4">
      <c r="A17" s="74">
        <v>4.0199999999999996</v>
      </c>
      <c r="B17" s="75" t="s">
        <v>38</v>
      </c>
      <c r="C17" s="76" t="str">
        <f>'WRA Worksheet'!C17</f>
        <v>?</v>
      </c>
      <c r="D17" s="82" t="str">
        <f>'WRA Worksheet'!D17</f>
        <v xml:space="preserve"> </v>
      </c>
    </row>
    <row r="18" spans="1:4">
      <c r="A18" s="74">
        <v>4.03</v>
      </c>
      <c r="B18" s="75" t="s">
        <v>41</v>
      </c>
      <c r="C18" s="76" t="str">
        <f>'WRA Worksheet'!C18</f>
        <v>n</v>
      </c>
      <c r="D18" s="82">
        <f>'WRA Worksheet'!D18</f>
        <v>0</v>
      </c>
    </row>
    <row r="19" spans="1:4">
      <c r="A19" s="74">
        <v>4.04</v>
      </c>
      <c r="B19" s="75" t="s">
        <v>42</v>
      </c>
      <c r="C19" s="76" t="str">
        <f>'WRA Worksheet'!C19</f>
        <v>n</v>
      </c>
      <c r="D19" s="82">
        <f>'WRA Worksheet'!D19</f>
        <v>-1</v>
      </c>
    </row>
    <row r="20" spans="1:4">
      <c r="A20" s="74">
        <v>4.05</v>
      </c>
      <c r="B20" s="75" t="s">
        <v>45</v>
      </c>
      <c r="C20" s="76" t="str">
        <f>'WRA Worksheet'!C20</f>
        <v>n</v>
      </c>
      <c r="D20" s="82">
        <f>'WRA Worksheet'!D20</f>
        <v>0</v>
      </c>
    </row>
    <row r="21" spans="1:4">
      <c r="A21" s="74">
        <v>4.0599999999999996</v>
      </c>
      <c r="B21" s="75" t="s">
        <v>46</v>
      </c>
      <c r="C21" s="76" t="str">
        <f>'WRA Worksheet'!C21</f>
        <v>y</v>
      </c>
      <c r="D21" s="82">
        <f>'WRA Worksheet'!D21</f>
        <v>1</v>
      </c>
    </row>
    <row r="22" spans="1:4">
      <c r="A22" s="74">
        <v>4.07</v>
      </c>
      <c r="B22" s="75" t="s">
        <v>49</v>
      </c>
      <c r="C22" s="76" t="str">
        <f>'WRA Worksheet'!C22</f>
        <v>n</v>
      </c>
      <c r="D22" s="82">
        <f>'WRA Worksheet'!D22</f>
        <v>0</v>
      </c>
    </row>
    <row r="23" spans="1:4">
      <c r="A23" s="74">
        <v>4.08</v>
      </c>
      <c r="B23" s="75" t="s">
        <v>50</v>
      </c>
      <c r="C23" s="76" t="str">
        <f>'WRA Worksheet'!C23</f>
        <v>n</v>
      </c>
      <c r="D23" s="82">
        <f>'WRA Worksheet'!D23</f>
        <v>0</v>
      </c>
    </row>
    <row r="24" spans="1:4">
      <c r="A24" s="74">
        <v>4.09</v>
      </c>
      <c r="B24" s="75" t="s">
        <v>51</v>
      </c>
      <c r="C24" s="76" t="str">
        <f>'WRA Worksheet'!C24</f>
        <v>y</v>
      </c>
      <c r="D24" s="82">
        <f>'WRA Worksheet'!D24</f>
        <v>1</v>
      </c>
    </row>
    <row r="25" spans="1:4" ht="45">
      <c r="A25" s="74">
        <v>4.0999999999999996</v>
      </c>
      <c r="B25" s="80" t="s">
        <v>54</v>
      </c>
      <c r="C25" s="76" t="str">
        <f>'WRA Worksheet'!C25</f>
        <v>n</v>
      </c>
      <c r="D25" s="82">
        <f>'WRA Worksheet'!D25</f>
        <v>0</v>
      </c>
    </row>
    <row r="26" spans="1:4">
      <c r="A26" s="74">
        <v>4.1100000000000003</v>
      </c>
      <c r="B26" s="75" t="s">
        <v>57</v>
      </c>
      <c r="C26" s="76" t="str">
        <f>'WRA Worksheet'!C26</f>
        <v>n</v>
      </c>
      <c r="D26" s="82">
        <f>'WRA Worksheet'!D26</f>
        <v>0</v>
      </c>
    </row>
    <row r="27" spans="1:4">
      <c r="A27" s="74">
        <v>4.12</v>
      </c>
      <c r="B27" s="75" t="s">
        <v>58</v>
      </c>
      <c r="C27" s="76" t="str">
        <f>'WRA Worksheet'!C27</f>
        <v>n</v>
      </c>
      <c r="D27" s="82">
        <f>'WRA Worksheet'!D27</f>
        <v>0</v>
      </c>
    </row>
    <row r="28" spans="1:4">
      <c r="A28" s="74">
        <v>5.01</v>
      </c>
      <c r="B28" s="75" t="s">
        <v>59</v>
      </c>
      <c r="C28" s="76" t="str">
        <f>'WRA Worksheet'!C28</f>
        <v>n</v>
      </c>
      <c r="D28" s="82">
        <f>'WRA Worksheet'!D28</f>
        <v>0</v>
      </c>
    </row>
    <row r="29" spans="1:4">
      <c r="A29" s="74">
        <v>5.0199999999999996</v>
      </c>
      <c r="B29" s="75" t="s">
        <v>60</v>
      </c>
      <c r="C29" s="76" t="str">
        <f>'WRA Worksheet'!C29</f>
        <v>n</v>
      </c>
      <c r="D29" s="82">
        <f>'WRA Worksheet'!D29</f>
        <v>0</v>
      </c>
    </row>
    <row r="30" spans="1:4">
      <c r="A30" s="74">
        <v>5.03</v>
      </c>
      <c r="B30" s="75" t="s">
        <v>62</v>
      </c>
      <c r="C30" s="76" t="str">
        <f>'WRA Worksheet'!C30</f>
        <v>n</v>
      </c>
      <c r="D30" s="82">
        <f>'WRA Worksheet'!D30</f>
        <v>0</v>
      </c>
    </row>
    <row r="31" spans="1:4">
      <c r="A31" s="74">
        <v>5.04</v>
      </c>
      <c r="B31" s="75" t="s">
        <v>63</v>
      </c>
      <c r="C31" s="76" t="str">
        <f>'WRA Worksheet'!C31</f>
        <v>n</v>
      </c>
      <c r="D31" s="82">
        <f>'WRA Worksheet'!D31</f>
        <v>0</v>
      </c>
    </row>
    <row r="32" spans="1:4">
      <c r="A32" s="74">
        <v>6.01</v>
      </c>
      <c r="B32" s="75" t="s">
        <v>64</v>
      </c>
      <c r="C32" s="76" t="str">
        <f>'WRA Worksheet'!C32</f>
        <v>n</v>
      </c>
      <c r="D32" s="82">
        <f>'WRA Worksheet'!D32</f>
        <v>0</v>
      </c>
    </row>
    <row r="33" spans="1:4">
      <c r="A33" s="74">
        <v>6.02</v>
      </c>
      <c r="B33" s="75" t="s">
        <v>65</v>
      </c>
      <c r="C33" s="76" t="str">
        <f>'WRA Worksheet'!C33</f>
        <v>y</v>
      </c>
      <c r="D33" s="82">
        <f>'WRA Worksheet'!D33</f>
        <v>1</v>
      </c>
    </row>
    <row r="34" spans="1:4">
      <c r="A34" s="74">
        <v>6.03</v>
      </c>
      <c r="B34" s="75" t="s">
        <v>68</v>
      </c>
      <c r="C34" s="76" t="str">
        <f>'WRA Worksheet'!C34</f>
        <v>y</v>
      </c>
      <c r="D34" s="82">
        <f>'WRA Worksheet'!D34</f>
        <v>1</v>
      </c>
    </row>
    <row r="35" spans="1:4">
      <c r="A35" s="74">
        <v>6.04</v>
      </c>
      <c r="B35" s="75" t="s">
        <v>71</v>
      </c>
      <c r="C35" s="76" t="str">
        <f>'WRA Worksheet'!C35</f>
        <v>y</v>
      </c>
      <c r="D35" s="82">
        <f>'WRA Worksheet'!D35</f>
        <v>1</v>
      </c>
    </row>
    <row r="36" spans="1:4">
      <c r="A36" s="74">
        <v>6.05</v>
      </c>
      <c r="B36" s="75" t="s">
        <v>74</v>
      </c>
      <c r="C36" s="76" t="str">
        <f>'WRA Worksheet'!C36</f>
        <v>n</v>
      </c>
      <c r="D36" s="82">
        <f>'WRA Worksheet'!D36</f>
        <v>0</v>
      </c>
    </row>
    <row r="37" spans="1:4">
      <c r="A37" s="74">
        <v>6.06</v>
      </c>
      <c r="B37" s="75" t="s">
        <v>77</v>
      </c>
      <c r="C37" s="76" t="str">
        <f>'WRA Worksheet'!C37</f>
        <v>y</v>
      </c>
      <c r="D37" s="82">
        <f>'WRA Worksheet'!D37</f>
        <v>1</v>
      </c>
    </row>
    <row r="38" spans="1:4">
      <c r="A38" s="74">
        <v>6.07</v>
      </c>
      <c r="B38" s="75" t="s">
        <v>80</v>
      </c>
      <c r="C38" s="81" t="str">
        <f>'WRA Worksheet'!C38</f>
        <v>1 or fewer</v>
      </c>
      <c r="D38" s="82">
        <f>'WRA Worksheet'!D38</f>
        <v>1</v>
      </c>
    </row>
    <row r="39" spans="1:4" ht="30">
      <c r="A39" s="74">
        <v>7.01</v>
      </c>
      <c r="B39" s="75" t="s">
        <v>84</v>
      </c>
      <c r="C39" s="76" t="str">
        <f>'WRA Worksheet'!C39</f>
        <v>y</v>
      </c>
      <c r="D39" s="82">
        <f>'WRA Worksheet'!D39</f>
        <v>1</v>
      </c>
    </row>
    <row r="40" spans="1:4">
      <c r="A40" s="74">
        <v>7.02</v>
      </c>
      <c r="B40" s="75" t="s">
        <v>87</v>
      </c>
      <c r="C40" s="76" t="str">
        <f>'WRA Worksheet'!C40</f>
        <v>y</v>
      </c>
      <c r="D40" s="82">
        <f>'WRA Worksheet'!D40</f>
        <v>1</v>
      </c>
    </row>
    <row r="41" spans="1:4">
      <c r="A41" s="74">
        <v>7.03</v>
      </c>
      <c r="B41" s="75" t="s">
        <v>90</v>
      </c>
      <c r="C41" s="76" t="str">
        <f>'WRA Worksheet'!C41</f>
        <v>?</v>
      </c>
      <c r="D41" s="82" t="str">
        <f>'WRA Worksheet'!D41</f>
        <v xml:space="preserve"> </v>
      </c>
    </row>
    <row r="42" spans="1:4">
      <c r="A42" s="74">
        <v>7.04</v>
      </c>
      <c r="B42" s="75" t="s">
        <v>92</v>
      </c>
      <c r="C42" s="76" t="str">
        <f>'WRA Worksheet'!C42</f>
        <v>n</v>
      </c>
      <c r="D42" s="82">
        <f>'WRA Worksheet'!D42</f>
        <v>-1</v>
      </c>
    </row>
    <row r="43" spans="1:4">
      <c r="A43" s="74">
        <v>7.05</v>
      </c>
      <c r="B43" s="75" t="s">
        <v>93</v>
      </c>
      <c r="C43" s="76" t="str">
        <f>'WRA Worksheet'!C43</f>
        <v>y</v>
      </c>
      <c r="D43" s="82">
        <f>'WRA Worksheet'!D43</f>
        <v>1</v>
      </c>
    </row>
    <row r="44" spans="1:4">
      <c r="A44" s="74">
        <v>7.06</v>
      </c>
      <c r="B44" s="75" t="s">
        <v>96</v>
      </c>
      <c r="C44" s="76" t="str">
        <f>'WRA Worksheet'!C44</f>
        <v>n</v>
      </c>
      <c r="D44" s="82">
        <f>'WRA Worksheet'!D44</f>
        <v>-1</v>
      </c>
    </row>
    <row r="45" spans="1:4">
      <c r="A45" s="74">
        <v>7.07</v>
      </c>
      <c r="B45" s="75" t="s">
        <v>99</v>
      </c>
      <c r="C45" s="76" t="str">
        <f>'WRA Worksheet'!C45</f>
        <v>?</v>
      </c>
      <c r="D45" s="82" t="str">
        <f>'WRA Worksheet'!D45</f>
        <v xml:space="preserve"> </v>
      </c>
    </row>
    <row r="46" spans="1:4">
      <c r="A46" s="74">
        <v>7.08</v>
      </c>
      <c r="B46" s="75" t="s">
        <v>102</v>
      </c>
      <c r="C46" s="76" t="str">
        <f>'WRA Worksheet'!C46</f>
        <v>n</v>
      </c>
      <c r="D46" s="82">
        <f>'WRA Worksheet'!D46</f>
        <v>-1</v>
      </c>
    </row>
    <row r="47" spans="1:4">
      <c r="A47" s="74">
        <v>8.01</v>
      </c>
      <c r="B47" s="75" t="s">
        <v>103</v>
      </c>
      <c r="C47" s="76" t="str">
        <f>'WRA Worksheet'!C47</f>
        <v>?</v>
      </c>
      <c r="D47" s="82" t="str">
        <f>'WRA Worksheet'!D47</f>
        <v xml:space="preserve"> </v>
      </c>
    </row>
    <row r="48" spans="1:4">
      <c r="A48" s="74">
        <v>8.02</v>
      </c>
      <c r="B48" s="75" t="s">
        <v>105</v>
      </c>
      <c r="C48" s="76" t="str">
        <f>'WRA Worksheet'!C48</f>
        <v>?</v>
      </c>
      <c r="D48" s="82" t="str">
        <f>'WRA Worksheet'!D48</f>
        <v xml:space="preserve"> </v>
      </c>
    </row>
    <row r="49" spans="1:4">
      <c r="A49" s="74">
        <v>8.0299999999999994</v>
      </c>
      <c r="B49" s="75" t="s">
        <v>108</v>
      </c>
      <c r="C49" s="76" t="str">
        <f>'WRA Worksheet'!C49</f>
        <v>y</v>
      </c>
      <c r="D49" s="82">
        <f>'WRA Worksheet'!D49</f>
        <v>-1</v>
      </c>
    </row>
    <row r="50" spans="1:4">
      <c r="A50" s="74">
        <v>8.0399999999999991</v>
      </c>
      <c r="B50" s="75" t="s">
        <v>111</v>
      </c>
      <c r="C50" s="76" t="str">
        <f>'WRA Worksheet'!C50</f>
        <v>y</v>
      </c>
      <c r="D50" s="82">
        <f>'WRA Worksheet'!D50</f>
        <v>1</v>
      </c>
    </row>
    <row r="51" spans="1:4">
      <c r="A51" s="74">
        <v>8.0500000000000007</v>
      </c>
      <c r="B51" s="67" t="s">
        <v>113</v>
      </c>
      <c r="C51" s="76" t="str">
        <f>'WRA Worksheet'!C51</f>
        <v>?</v>
      </c>
      <c r="D51" s="82" t="str">
        <f>'WRA Worksheet'!D51</f>
        <v xml:space="preserve"> </v>
      </c>
    </row>
    <row r="52" spans="1:4">
      <c r="A52" s="31"/>
      <c r="B52" s="32" t="s">
        <v>114</v>
      </c>
      <c r="C52" s="145">
        <f>'WRA Worksheet'!D53</f>
        <v>18</v>
      </c>
      <c r="D52" s="145"/>
    </row>
    <row r="53" spans="1:4">
      <c r="A53" s="33"/>
      <c r="B53" s="34" t="s">
        <v>165</v>
      </c>
      <c r="C53" s="145" t="str" cm="1">
        <f t="array" ref="C53">IF(OR('WRA Worksheet'!C71:D71="yes", 'WRA Worksheet'!C72:D72="yes", 'WRA Worksheet'!C73:D73="yes"),"yes","no")</f>
        <v>no</v>
      </c>
      <c r="D53" s="145"/>
    </row>
    <row r="54" spans="1:4">
      <c r="A54" s="33"/>
      <c r="B54" s="34" t="s">
        <v>166</v>
      </c>
      <c r="C54" s="145" t="str">
        <f>IF(C53="yes", 'WRA Worksheet'!C74, 'WRA Worksheet'!D54)</f>
        <v>reject</v>
      </c>
      <c r="D54" s="145"/>
    </row>
    <row r="55" spans="1:4" ht="15.75" thickBot="1">
      <c r="A55" s="35"/>
      <c r="B55" s="36"/>
      <c r="C55" s="36"/>
      <c r="D55" s="37"/>
    </row>
    <row r="56" spans="1:4" ht="39.75" thickTop="1">
      <c r="A56" s="38" t="s">
        <v>167</v>
      </c>
      <c r="B56" s="39" t="s">
        <v>168</v>
      </c>
      <c r="C56" s="40" t="s">
        <v>118</v>
      </c>
      <c r="D56" s="37"/>
    </row>
    <row r="57" spans="1:4">
      <c r="A57" s="41" t="s">
        <v>119</v>
      </c>
      <c r="B57" s="42">
        <f>'WRA Worksheet'!C57</f>
        <v>11</v>
      </c>
      <c r="C57" s="43" t="str">
        <f>IF(B57&gt;=2,"yes","no")</f>
        <v>yes</v>
      </c>
      <c r="D57" s="37"/>
    </row>
    <row r="58" spans="1:4">
      <c r="A58" s="41" t="s">
        <v>120</v>
      </c>
      <c r="B58" s="42">
        <f>'WRA Worksheet'!C58</f>
        <v>11</v>
      </c>
      <c r="C58" s="43" t="str">
        <f>IF(B58&gt;=2,"yes","no")</f>
        <v>yes</v>
      </c>
      <c r="D58" s="37"/>
    </row>
    <row r="59" spans="1:4">
      <c r="A59" s="41" t="s">
        <v>121</v>
      </c>
      <c r="B59" s="42">
        <f>'WRA Worksheet'!C59</f>
        <v>18</v>
      </c>
      <c r="C59" s="43" t="str">
        <f>IF(B59&gt;=6,"yes","no")</f>
        <v>yes</v>
      </c>
      <c r="D59" s="37"/>
    </row>
    <row r="60" spans="1:4" ht="15.75" thickBot="1">
      <c r="A60" s="44" t="s">
        <v>122</v>
      </c>
      <c r="B60" s="45">
        <f>'WRA Worksheet'!C60</f>
        <v>40</v>
      </c>
      <c r="C60" s="46" t="str">
        <f>IF(C57="no","no",IF(C58="no","no",IF(C59="no","no","yes")))</f>
        <v>yes</v>
      </c>
      <c r="D60" s="37"/>
    </row>
    <row r="61" spans="1:4" ht="15.7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v>
      </c>
      <c r="C2" s="51">
        <v>0</v>
      </c>
    </row>
    <row r="3" spans="1:3">
      <c r="A3" s="30">
        <v>1.02</v>
      </c>
      <c r="B3" s="50">
        <v>0</v>
      </c>
      <c r="C3" s="50">
        <v>0</v>
      </c>
    </row>
    <row r="4" spans="1:3">
      <c r="A4" s="30">
        <v>1.03</v>
      </c>
      <c r="B4" s="50">
        <v>0</v>
      </c>
      <c r="C4" s="50">
        <v>0</v>
      </c>
    </row>
    <row r="5" spans="1:3" ht="30">
      <c r="A5" s="30">
        <v>2.0099999999999998</v>
      </c>
      <c r="B5" s="52" t="str">
        <v>See attached climtae suitability map</v>
      </c>
      <c r="C5" s="53">
        <v>0</v>
      </c>
    </row>
    <row r="6" spans="1:3">
      <c r="A6" s="30">
        <v>2.02</v>
      </c>
      <c r="B6" s="53" t="str">
        <v>See attached climtae suitability map</v>
      </c>
      <c r="C6" s="54">
        <v>0</v>
      </c>
    </row>
    <row r="7" spans="1:3">
      <c r="A7" s="30">
        <v>2.0299999999999998</v>
      </c>
      <c r="B7" s="54" t="str">
        <v>See attached climtae suitability map</v>
      </c>
      <c r="C7" s="53">
        <v>0</v>
      </c>
    </row>
    <row r="8" spans="1:3">
      <c r="A8" s="30">
        <v>2.04</v>
      </c>
      <c r="B8" s="51" t="str">
        <v>See attached climtae suitability map</v>
      </c>
      <c r="C8" s="51">
        <v>0</v>
      </c>
    </row>
    <row r="9" spans="1:3" ht="75">
      <c r="A9" s="30">
        <v>2.0499999999999998</v>
      </c>
      <c r="B9" s="51" t="str">
        <v>Native to East Africa. Introduced to Australia, SE Asia, South America, Central America, Morrocco, Cameroon, Germany, and the USA (1). Occurences points through out the world. Notable absenses are North Africa, Central/North Asia, and North Canada  (2)</v>
      </c>
      <c r="C9" s="53" t="str">
        <v>(1) https://powo.science.kew.org/taxon/urn:lsid:ipni.org:names:374419-1 (2) https://www.gbif.org/species/2891772</v>
      </c>
    </row>
    <row r="10" spans="1:3">
      <c r="A10" s="30">
        <v>3.01</v>
      </c>
      <c r="B10" s="51" t="str">
        <v>"...has naturalized in many other areas of the world, including parts of North America, Australia, and several Pacific Islands." (1) Widely naturalized and invasive (2). Considered naturalized in Australia (3)</v>
      </c>
      <c r="C10" s="53" t="str">
        <v>(1) https://animals.sandiegozoo.org/plants/impatiens (2) http://www.hear.org/pier/species/impatiens_walleriana.htm (3) https://weeds.org.au/wp-content/uploads/2020/04/potential.pdf</v>
      </c>
    </row>
    <row r="11" spans="1:3" ht="75">
      <c r="A11" s="30">
        <v>3.02</v>
      </c>
      <c r="B11" s="50" t="str">
        <v>"It colonises forest margins and is displacing native fern communities around waterfalls. It has also naturalised in riparian habitats and other moist areas" in Australia (1). "It is also a weed of roadsides, disturbed sites, and waste areas in populated areas." (2) "...is an exotic weed prevalent on roadsides, forest edges, and other disturbed habitat throughout Monteverde, Costa Rica." (3)</v>
      </c>
      <c r="C11" s="53" t="str">
        <v xml:space="preserve">(1) Csurhes, S./Edwards, R. 1998. Potential environmental weeds in Australia: Candidate species for preventative control. Canberra, Australia. Biodiversity Group, Environment Australia. 208 pp. (2) https://keyserver.lucidcentral.org/weeds/data/media/Html/impatiens_walleriana.htm (3) Parker, Alison, "Pollinator limitation and seed set of Impatiens walleriana, May 2005" (2005). Tropical
Ecology and Conservation [Monteverde Institute]. 601. https://digitalcommons.usf.edu/tropical_ecology/601 </v>
      </c>
    </row>
    <row r="12" spans="1:3">
      <c r="A12" s="30">
        <v>3.03</v>
      </c>
      <c r="B12" s="50" t="str">
        <v>No evidence</v>
      </c>
      <c r="C12" s="53">
        <v>0</v>
      </c>
    </row>
    <row r="13" spans="1:3">
      <c r="A13" s="30">
        <v>3.04</v>
      </c>
      <c r="B13" s="51" t="str">
        <v>"It colonises forest margins and is displacing native fern communities around waterfalls. It has also naturalised in riparian habitats and other moist areas" in Australia (1). Considered an environmental weed in Queensland (2)</v>
      </c>
      <c r="C13" s="53" t="str">
        <v>(1) Csurhes, S./Edwards, R. 1998. Potential environmental weeds in Australia: Candidate species for preventative control. Canberra, Australia. Biodiversity Group, Environment Australia. 208 pp. (2) https://keyserver.lucidcentral.org/weeds/data/media/Html/impatiens_walleriana.htm</v>
      </c>
    </row>
    <row r="14" spans="1:3" ht="135">
      <c r="A14" s="30">
        <v>3.05</v>
      </c>
      <c r="B14" s="51" t="str">
        <v>Impatiens glandulifera considered invasive (1) (2)</v>
      </c>
      <c r="C14" s="53" t="str">
        <v>(1) Coakley S, Petti C. Impacts of the Invasive Impatiens glandulifera: Lessons Learned from One of Europe's Top Invasive Species. Biology (Basel). 2021 Jul 3;10(7):619. doi: 10.3390/biology10070619. PMID: 34356476; PMCID: PMC8301180. (2)</v>
      </c>
    </row>
    <row r="15" spans="1:3">
      <c r="A15" s="30">
        <v>4.01</v>
      </c>
      <c r="B15" s="50" t="str">
        <v>No evidence</v>
      </c>
      <c r="C15" s="55">
        <v>0</v>
      </c>
    </row>
    <row r="16" spans="1:3" ht="75">
      <c r="A16" s="30">
        <v>4.0199999999999996</v>
      </c>
      <c r="B16" s="51" t="str">
        <v>No studies found</v>
      </c>
      <c r="C16" s="51">
        <v>0</v>
      </c>
    </row>
    <row r="17" spans="1:3">
      <c r="A17" s="30">
        <v>4.03</v>
      </c>
      <c r="B17" s="51" t="str">
        <v>No evidence</v>
      </c>
      <c r="C17" s="51">
        <v>0</v>
      </c>
    </row>
    <row r="18" spans="1:3">
      <c r="A18" s="30">
        <v>4.04</v>
      </c>
      <c r="B18" s="51" t="str">
        <v>"Deer can be troublesome" to the plant (1) Not considered deer resistant (2)</v>
      </c>
      <c r="C18" s="51" t="str">
        <v>(1) https://plants.ces.ncsu.edu/plants/impatiens-walleriana/ (2) https://njaes.rutgers.edu/deer-resistant-plants/?search=IMPATIENS</v>
      </c>
    </row>
    <row r="19" spans="1:3">
      <c r="A19" s="30">
        <v>4.05</v>
      </c>
      <c r="B19" s="51" t="str">
        <v>No evidence</v>
      </c>
      <c r="C19" s="51">
        <v>0</v>
      </c>
    </row>
    <row r="20" spans="1:3">
      <c r="A20" s="30">
        <v>4.0599999999999996</v>
      </c>
      <c r="B20" s="51" t="str">
        <v>Host of downy Mildew (1) (2)</v>
      </c>
      <c r="C20" s="51" t="str">
        <v>(1) https://ccmedia.fdacs.gov/content/download/67875/file/pest_alert_-_downy_mildew_of_impatiens.pdf (2) https://ipm.missouri.edu/mpg/2013/1/Downy-Mildew-on-Impatiens/</v>
      </c>
    </row>
    <row r="21" spans="1:3">
      <c r="A21" s="30">
        <v>4.07</v>
      </c>
      <c r="B21" s="51" t="str">
        <v>No evidence</v>
      </c>
      <c r="C21" s="51">
        <v>0</v>
      </c>
    </row>
    <row r="22" spans="1:3">
      <c r="A22" s="30">
        <v>4.08</v>
      </c>
      <c r="B22" s="51" t="str">
        <v>No evidence</v>
      </c>
      <c r="C22" s="53">
        <v>0</v>
      </c>
    </row>
    <row r="23" spans="1:3">
      <c r="A23" s="30">
        <v>4.09</v>
      </c>
      <c r="B23" s="51" t="str">
        <v>Noted to tolerate deep shade (1). "Prized for their easy care and ability to flower in the shade." (2)</v>
      </c>
      <c r="C23" s="51" t="str">
        <v>(1) https://plants.ces.ncsu.edu/plants/impatiens-walleriana/ (2) https://animals.sandiegozoo.org/plants/impatiens</v>
      </c>
    </row>
    <row r="24" spans="1:3">
      <c r="A24" s="30">
        <v>4.0999999999999996</v>
      </c>
      <c r="B24" s="51" t="str">
        <v>"They require moist, well-drained soils, supplemented with organic material, and a slightly acidinc pH." (1)</v>
      </c>
      <c r="C24" s="51" t="str">
        <v>(1) https://plants.ces.ncsu.edu/plants/impatiens-walleriana/</v>
      </c>
    </row>
    <row r="25" spans="1:3">
      <c r="A25" s="30">
        <v>4.1100000000000003</v>
      </c>
      <c r="B25" s="51" t="str">
        <v>No evidence</v>
      </c>
      <c r="C25" s="51">
        <v>0</v>
      </c>
    </row>
    <row r="26" spans="1:3">
      <c r="A26" s="30">
        <v>4.12</v>
      </c>
      <c r="B26" s="51" t="str">
        <v>No evidence</v>
      </c>
      <c r="C26" s="51">
        <v>0</v>
      </c>
    </row>
    <row r="27" spans="1:3">
      <c r="A27" s="30">
        <v>5.01</v>
      </c>
      <c r="B27" s="51" t="str">
        <v>No evidence</v>
      </c>
      <c r="C27" s="51">
        <v>0</v>
      </c>
    </row>
    <row r="28" spans="1:3">
      <c r="A28" s="30">
        <v>5.0199999999999996</v>
      </c>
      <c r="B28" s="51" t="str">
        <v>Not of the Poaceae family</v>
      </c>
      <c r="C28" s="51">
        <v>0</v>
      </c>
    </row>
    <row r="29" spans="1:3">
      <c r="A29" s="30">
        <v>5.03</v>
      </c>
      <c r="B29" s="51" t="str">
        <v>No evidence</v>
      </c>
      <c r="C29" s="51">
        <v>0</v>
      </c>
    </row>
    <row r="30" spans="1:3">
      <c r="A30" s="30">
        <v>5.04</v>
      </c>
      <c r="B30" s="51" t="str">
        <v>No evidence</v>
      </c>
      <c r="C30" s="51">
        <v>0</v>
      </c>
    </row>
    <row r="31" spans="1:3">
      <c r="A31" s="30">
        <v>6.01</v>
      </c>
      <c r="B31" s="50" t="str">
        <v>No evidence</v>
      </c>
      <c r="C31" s="51">
        <v>0</v>
      </c>
    </row>
    <row r="32" spans="1:3">
      <c r="A32" s="30">
        <v>6.02</v>
      </c>
      <c r="B32" s="51" t="str">
        <v>Propagated by seed (1) (2)</v>
      </c>
      <c r="C32" s="51" t="str">
        <v>(1) https://plants.ces.ncsu.edu/plants/impatiens-walleriana/ (2) https://keyserver.lucidcentral.org/weeds/data/media/Html/impatiens_walleriana.htm</v>
      </c>
    </row>
    <row r="33" spans="1:3">
      <c r="A33" s="30">
        <v>6.03</v>
      </c>
      <c r="B33" s="51" t="str">
        <v>Hybridization possible (1) (2). Therefore, natural hybridization is likely when Impatiens ranges overlap.</v>
      </c>
      <c r="C33" s="51" t="str">
        <v>(1) Catherine M. Merlin and W. F. Grant. 1986. Hybridization studies in the genus Impatiens. Canadian Journal of Botany. 64(5): 1069-1074. https://doi.org/10.1139/b86-145 (2) Keach JE, Bridgen MP (2015) Towards improvement of impatiens. Combined Proc Int Plant Propagators’ Soc 65:317–325</v>
      </c>
    </row>
    <row r="34" spans="1:3">
      <c r="A34" s="30">
        <v>6.04</v>
      </c>
      <c r="B34" s="51" t="str">
        <v xml:space="preserve">Plants produced seed pods without pollinator visitation. "...in the absence of pollinators, I. walleriana plants are able to self-fertilize." (1) </v>
      </c>
      <c r="C34" s="51" t="str">
        <v xml:space="preserve">(1) Parker, Alison, "Pollinator limitation and seed set of Impatiens walleriana, May 2005" (2005). Tropical
Ecology and Conservation [Monteverde Institute]. 601. https://digitalcommons.usf.edu/tropical_ecology/601 </v>
      </c>
    </row>
    <row r="35" spans="1:3">
      <c r="A35" s="30">
        <v>6.05</v>
      </c>
      <c r="B35" s="51" t="str">
        <v>"It attracts bees and butterflies that help pollinate the plants" (1) Insect pollinated (2) (3)</v>
      </c>
      <c r="C35" s="51" t="str">
        <v>(1) https://animals.sandiegozoo.org/plants/impatiens (2) Parker, Alison, "Pollinator limitation and seed set of Impatiens walleriana, May 2005" (2005). Tropical
Ecology and Conservation [Monteverde Institute]. 601. https://digitalcommons.usf.edu/tropical_ecology/601 (3) https://doi.org/10.1016/j.actatropica.2020.105624</v>
      </c>
    </row>
    <row r="36" spans="1:3">
      <c r="A36" s="30">
        <v>6.06</v>
      </c>
      <c r="B36" s="51" t="str">
        <v>"The plant can also be easily propagated from cuttings..." (1) Noted to be propagated vegetatively (2)</v>
      </c>
      <c r="C36" s="51" t="str">
        <v>(1) https://plants.ces.ncsu.edu/plants/impatiens-walleriana/ (2) https://www.thespruce.com/shade-tolerant-impatiens-flowers-2132141</v>
      </c>
    </row>
    <row r="37" spans="1:3">
      <c r="A37" s="30">
        <v>6.07</v>
      </c>
      <c r="B37" s="51" t="str">
        <v>Can be an annual in certain conditions (1) (2)</v>
      </c>
      <c r="C37" s="51" t="str">
        <v>(1) https://keyserver.lucidcentral.org/weeds/data/media/Html/impatiens_walleriana.htm (2) https://animals.sandiegozoo.org/plants/impatiens</v>
      </c>
    </row>
    <row r="38" spans="1:3">
      <c r="A38" s="30">
        <v>7.01</v>
      </c>
      <c r="B38" s="51" t="str">
        <v>Dispersed in garden waste (1) (2)</v>
      </c>
      <c r="C38" s="51" t="str">
        <v>(1) https://keyserver.lucidcentral.org/weeds/data/media/Html/impatiens_walleriana.htm (2) https://www.aucklandmuseum.com/collection/object/932805</v>
      </c>
    </row>
    <row r="39" spans="1:3">
      <c r="A39" s="30">
        <v>7.02</v>
      </c>
      <c r="B39" s="51" t="str">
        <v>Sold online (1) (2)</v>
      </c>
      <c r="C39" s="51" t="str">
        <v>(1) https://www.amazon.com/Impatiens-Walleriana/s?k=Impatiens+Walleriana (2) https://www.seedsdelmundo.com/product/impatiens-walleriana/?gQT=1</v>
      </c>
    </row>
    <row r="40" spans="1:3">
      <c r="A40" s="30">
        <v>7.03</v>
      </c>
      <c r="B40" s="50" t="str">
        <v>Possible that propagules may be mixed with mulch or other plant materials</v>
      </c>
      <c r="C40" s="51">
        <v>0</v>
      </c>
    </row>
    <row r="41" spans="1:3">
      <c r="A41" s="30">
        <v>7.04</v>
      </c>
      <c r="B41" s="51" t="str">
        <v>No evidence</v>
      </c>
      <c r="C41" s="51">
        <v>0</v>
      </c>
    </row>
    <row r="42" spans="1:3">
      <c r="A42" s="30">
        <v>7.05</v>
      </c>
      <c r="B42" s="51" t="str">
        <v>Noted as being able to be spread by water (1) (2)</v>
      </c>
      <c r="C42" s="51" t="str">
        <v>(1) https://keyserver.lucidcentral.org/weeds/data/media/Html/impatiens_walleriana.htm (2) Mandle L, Warren DL, Hoffmann MH, Peterson AT, Schmitt J, et al. (2010) Conclusions about Niche Expansion in Introduced Impatiens walleriana
Populations Depend on Method of Analysis. PLoS ONE 5(12): e15297. doi:10.1371/journal.pone.0015297_x000D_</v>
      </c>
    </row>
    <row r="43" spans="1:3">
      <c r="A43" s="30">
        <v>7.06</v>
      </c>
      <c r="B43" s="51" t="str">
        <v>Fruits are not fleshy. "A glaborous ovoid capsule" (1) (2)</v>
      </c>
      <c r="C43" s="51" t="str">
        <v>(1) http://www.hear.org/pier/species/impatiens_walleriana.htm</v>
      </c>
    </row>
    <row r="44" spans="1:3">
      <c r="A44" s="30">
        <v>7.07</v>
      </c>
      <c r="B44" s="51" t="str">
        <v>Possible given small propagule size. Caching behavior suspected (1)</v>
      </c>
      <c r="C44" s="51" t="str">
        <v>(1) Mandle L, Warren DL, Hoffmann MH, Peterson AT, Schmitt J, et al. (2010) Conclusions about Niche Expansion in Introduced Impatiens walleriana
Populations Depend on Method of Analysis. PLoS ONE 5(12): e15297. doi:10.1371/journal.pone.0015297_x000D_</v>
      </c>
    </row>
    <row r="45" spans="1:3">
      <c r="A45" s="30">
        <v>7.08</v>
      </c>
      <c r="B45" s="50" t="str">
        <v>No evidence</v>
      </c>
      <c r="C45" s="51">
        <v>0</v>
      </c>
    </row>
    <row r="46" spans="1:3">
      <c r="A46" s="30">
        <v>8.01</v>
      </c>
      <c r="B46" s="50" t="str">
        <v>Not enough information found</v>
      </c>
      <c r="C46" s="51">
        <v>0</v>
      </c>
    </row>
    <row r="47" spans="1:3">
      <c r="A47" s="30">
        <v>8.02</v>
      </c>
      <c r="B47" s="51" t="str">
        <v>Noted to survive for two years under ideal conditions, but not much supporting information found (1)</v>
      </c>
      <c r="C47" s="51" t="str">
        <v>(1) https://acelandscapingservices.com/Impatiens</v>
      </c>
    </row>
    <row r="48" spans="1:3">
      <c r="A48" s="30">
        <v>8.0299999999999994</v>
      </c>
      <c r="B48" s="51" t="str">
        <v>Shown to be susceptible for irrigated herbicide (1)</v>
      </c>
      <c r="C48" s="51" t="str">
        <v>(1) Gettys, L. A. &amp; W. T. Haller, 2009. Tolerance of selected bedding plants to four herbicides in irrigation water. Hort Technology 19: 546–552.</v>
      </c>
    </row>
    <row r="49" spans="1:3">
      <c r="A49" s="30">
        <v>8.0399999999999991</v>
      </c>
      <c r="B49" s="51" t="str">
        <v>Easily propagated vegetatively (1) (2)</v>
      </c>
      <c r="C49" s="51" t="str">
        <v>(1) https://plants.ces.ncsu.edu/plants/impatiens-walleriana/ (2) https://www.thespruce.com/shade-tolerant-impatiens-flowers-2132141</v>
      </c>
    </row>
    <row r="50" spans="1:3">
      <c r="A50" s="30">
        <v>8.0500000000000007</v>
      </c>
      <c r="B50" s="50">
        <v>0</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714E1-6774-437D-801A-4B8EB940739E}"/>
</file>

<file path=customXml/itemProps2.xml><?xml version="1.0" encoding="utf-8"?>
<ds:datastoreItem xmlns:ds="http://schemas.openxmlformats.org/officeDocument/2006/customXml" ds:itemID="{C72C3439-75BE-411A-8E6B-DF10E44BED25}"/>
</file>

<file path=customXml/itemProps3.xml><?xml version="1.0" encoding="utf-8"?>
<ds:datastoreItem xmlns:ds="http://schemas.openxmlformats.org/officeDocument/2006/customXml" ds:itemID="{E71A7082-BF58-4631-B94E-FCC871B8E8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2025-04-22T18:03:57Z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