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16"/>
  <workbookPr defaultThemeVersion="166925"/>
  <mc:AlternateContent xmlns:mc="http://schemas.openxmlformats.org/markup-compatibility/2006">
    <mc:Choice Requires="x15">
      <x15ac:absPath xmlns:x15ac="http://schemas.microsoft.com/office/spreadsheetml/2010/11/ac" url="/Users/seokminkim/Desktop/Assessments/Species/Eucalyptus smithii/"/>
    </mc:Choice>
  </mc:AlternateContent>
  <xr:revisionPtr revIDLastSave="0" documentId="13_ncr:1_{DB7FBF8E-D42A-B24C-A069-C1D404CCE817}" xr6:coauthVersionLast="47" xr6:coauthVersionMax="47" xr10:uidLastSave="{00000000-0000-0000-0000-000000000000}"/>
  <bookViews>
    <workbookView xWindow="-27980" yWindow="-3720" windowWidth="27260" windowHeight="17140" xr2:uid="{DC9EAAB9-A961-4D36-B025-37CCF3FD5897}"/>
  </bookViews>
  <sheets>
    <sheet name="WRA Worksheet" sheetId="1" r:id="rId1"/>
    <sheet name="LUT" sheetId="2" r:id="rId2"/>
    <sheet name="PDF Template Scoresheet" sheetId="3" r:id="rId3"/>
    <sheet name="PDF Template Refs &amp; Data" sheetId="4" r:id="rId4"/>
  </sheets>
  <definedNames>
    <definedName name="_xlnm._FilterDatabase" localSheetId="0" hidden="1">'WRA Worksheet'!$B$65:$C$67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1" l="1"/>
  <c r="D4" i="3" s="1"/>
  <c r="A1" i="3"/>
  <c r="D71" i="1"/>
  <c r="D73" i="1"/>
  <c r="D72" i="1"/>
  <c r="I26" i="2"/>
  <c r="I27" i="2"/>
  <c r="D3" i="1"/>
  <c r="D3" i="3" s="1"/>
  <c r="D5" i="1"/>
  <c r="D5" i="3" s="1"/>
  <c r="D8" i="1"/>
  <c r="D8" i="3" s="1"/>
  <c r="D9" i="1"/>
  <c r="D9" i="3" s="1"/>
  <c r="D11" i="1"/>
  <c r="D11" i="3" s="1"/>
  <c r="D12" i="1"/>
  <c r="D12" i="3" s="1"/>
  <c r="D13" i="1"/>
  <c r="D13" i="3" s="1"/>
  <c r="D14" i="1"/>
  <c r="D14" i="3" s="1"/>
  <c r="D15" i="1"/>
  <c r="D15" i="3" s="1"/>
  <c r="D16" i="1"/>
  <c r="D16" i="3" s="1"/>
  <c r="D17" i="1"/>
  <c r="D17" i="3" s="1"/>
  <c r="D18" i="1"/>
  <c r="D18" i="3" s="1"/>
  <c r="D19" i="1"/>
  <c r="D19" i="3" s="1"/>
  <c r="D20" i="1"/>
  <c r="D20" i="3" s="1"/>
  <c r="D21" i="1"/>
  <c r="D21" i="3" s="1"/>
  <c r="D22" i="1"/>
  <c r="D22" i="3" s="1"/>
  <c r="D23" i="1"/>
  <c r="D23" i="3" s="1"/>
  <c r="D24" i="1"/>
  <c r="D24" i="3" s="1"/>
  <c r="D25" i="1"/>
  <c r="D25" i="3" s="1"/>
  <c r="D26" i="1"/>
  <c r="D26" i="3" s="1"/>
  <c r="D27" i="1"/>
  <c r="D27" i="3" s="1"/>
  <c r="D28" i="1"/>
  <c r="D28" i="3" s="1"/>
  <c r="D29" i="1"/>
  <c r="D29" i="3" s="1"/>
  <c r="D30" i="1"/>
  <c r="D30" i="3" s="1"/>
  <c r="D31" i="1"/>
  <c r="D31" i="3" s="1"/>
  <c r="D32" i="1"/>
  <c r="D32" i="3" s="1"/>
  <c r="D33" i="1"/>
  <c r="D33" i="3" s="1"/>
  <c r="D34" i="1"/>
  <c r="D34" i="3" s="1"/>
  <c r="D35" i="1"/>
  <c r="D35" i="3" s="1"/>
  <c r="D36" i="1"/>
  <c r="D36" i="3" s="1"/>
  <c r="D37" i="1"/>
  <c r="D37" i="3" s="1"/>
  <c r="D38" i="1"/>
  <c r="D38" i="3" s="1"/>
  <c r="D39" i="1"/>
  <c r="D39" i="3" s="1"/>
  <c r="D40" i="1"/>
  <c r="D40" i="3" s="1"/>
  <c r="D41" i="1"/>
  <c r="D41" i="3" s="1"/>
  <c r="D42" i="1"/>
  <c r="D42" i="3" s="1"/>
  <c r="D43" i="1"/>
  <c r="D43" i="3" s="1"/>
  <c r="D44" i="1"/>
  <c r="D44" i="3" s="1"/>
  <c r="D45" i="1"/>
  <c r="D45" i="3" s="1"/>
  <c r="D46" i="1"/>
  <c r="D46" i="3" s="1"/>
  <c r="D47" i="1"/>
  <c r="D47" i="3" s="1"/>
  <c r="D48" i="1"/>
  <c r="D48" i="3" s="1"/>
  <c r="D49" i="1"/>
  <c r="D49" i="3" s="1"/>
  <c r="D50" i="1"/>
  <c r="D50" i="3" s="1"/>
  <c r="D51" i="1"/>
  <c r="D51" i="3" s="1"/>
  <c r="C57" i="1"/>
  <c r="B57" i="3" s="1"/>
  <c r="C57" i="3" s="1"/>
  <c r="C58" i="1"/>
  <c r="B58" i="3" s="1"/>
  <c r="C58" i="3" s="1"/>
  <c r="C59" i="1"/>
  <c r="B59" i="3" s="1"/>
  <c r="C59" i="3" s="1"/>
  <c r="B2" i="4" a="1"/>
  <c r="B2" i="4" s="1"/>
  <c r="C51" i="3"/>
  <c r="C50" i="3"/>
  <c r="C49" i="3"/>
  <c r="C48" i="3"/>
  <c r="C47" i="3"/>
  <c r="C46" i="3"/>
  <c r="C45" i="3"/>
  <c r="C44" i="3"/>
  <c r="C43" i="3"/>
  <c r="C42" i="3"/>
  <c r="C41" i="3"/>
  <c r="C40" i="3"/>
  <c r="C39" i="3"/>
  <c r="C38" i="3"/>
  <c r="C37" i="3"/>
  <c r="C36" i="3"/>
  <c r="C35" i="3"/>
  <c r="C34" i="3"/>
  <c r="C33" i="3"/>
  <c r="C32" i="3"/>
  <c r="C31" i="3"/>
  <c r="C30" i="3"/>
  <c r="C29" i="3"/>
  <c r="C28" i="3"/>
  <c r="C27" i="3"/>
  <c r="C26" i="3"/>
  <c r="C25" i="3"/>
  <c r="C24" i="3"/>
  <c r="C23" i="3"/>
  <c r="C22" i="3"/>
  <c r="C21" i="3"/>
  <c r="C20" i="3"/>
  <c r="C19" i="3"/>
  <c r="C18" i="3"/>
  <c r="C17" i="3"/>
  <c r="C16" i="3"/>
  <c r="C15" i="3"/>
  <c r="C14" i="3"/>
  <c r="C13" i="3"/>
  <c r="C12" i="3"/>
  <c r="C11" i="3"/>
  <c r="C10" i="3"/>
  <c r="C9" i="3"/>
  <c r="C8" i="3"/>
  <c r="C7" i="3"/>
  <c r="C6" i="3"/>
  <c r="C4" i="3"/>
  <c r="C5" i="3"/>
  <c r="C3" i="3"/>
  <c r="C53" i="3" l="1" a="1"/>
  <c r="C53" i="3" s="1"/>
  <c r="C74" i="1"/>
  <c r="D59" i="1"/>
  <c r="D58" i="1"/>
  <c r="C60" i="3"/>
  <c r="C60" i="1"/>
  <c r="B60" i="3" s="1"/>
  <c r="D57" i="1"/>
  <c r="D53" i="1"/>
  <c r="D60" i="1" l="1"/>
  <c r="D54" i="1"/>
  <c r="C54" i="3" s="1"/>
  <c r="C52"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<sst xmlns="http://schemas.openxmlformats.org/spreadsheetml/2006/main" count="332" uniqueCount="158">
  <si>
    <t>Species:</t>
  </si>
  <si>
    <t>Number</t>
  </si>
  <si>
    <t>Question</t>
  </si>
  <si>
    <t>Answer</t>
  </si>
  <si>
    <t>Score</t>
  </si>
  <si>
    <t>Uncertainty</t>
  </si>
  <si>
    <t>Evidence</t>
  </si>
  <si>
    <t>Reference</t>
  </si>
  <si>
    <t>Is the species highly domesticated?</t>
  </si>
  <si>
    <t>Has the species become naturalised where grown?</t>
  </si>
  <si>
    <t>Does the species have weedy races?</t>
  </si>
  <si>
    <t>Species suited to Florida's USDA climate zones (1-low; 2-intermediate; 3-high)
       North Zone: suited to Zones 8, 9
       Central Zone: suited to Zones 9, 10
       South Zone: suited to Zone 10</t>
  </si>
  <si>
    <t>Quality of climate match data (1-low; 2-intermediate; 3-high)</t>
  </si>
  <si>
    <t>Broad climate suitability (environmental versatility)</t>
  </si>
  <si>
    <t>Native or naturalized in habitats with periodic inundation
       North Zone: mean annual precipitation 50-70 inches
       Central Zone: mean annual precipitation 40-60 inches
       South Zone: mean annual precipitation 40-60 inches</t>
  </si>
  <si>
    <t>Does the species have a history of repeated introductions outside its natural range?</t>
  </si>
  <si>
    <t>Naturalized beyond native range</t>
  </si>
  <si>
    <t>Garden/amenity/disturbance weed</t>
  </si>
  <si>
    <t>Weed of agriculture</t>
  </si>
  <si>
    <t>Environmental weed</t>
  </si>
  <si>
    <t>Congeneric weed</t>
  </si>
  <si>
    <t>Produces spines, thorns or burrs</t>
  </si>
  <si>
    <t>Allelopathic</t>
  </si>
  <si>
    <t>Parasitic</t>
  </si>
  <si>
    <t>Unpalatable to grazing animals</t>
  </si>
  <si>
    <t>Toxic to animals</t>
  </si>
  <si>
    <t>Host for recognised pests and pathogens</t>
  </si>
  <si>
    <t>Causes allergies or is otherwise toxic to humans</t>
  </si>
  <si>
    <t>Creates a fire hazard in natural ecosystems</t>
  </si>
  <si>
    <t>Is a shade tolerant plant at some stage of its life cycle</t>
  </si>
  <si>
    <t>Grows on infertile soils (oligotrophic, limerock, or excessively draining soils).  North &amp; Central Zones: infertile soils; South Zone: shallow limerock or Histisols.</t>
  </si>
  <si>
    <t>Climbing or smothering growth habit</t>
  </si>
  <si>
    <t>Forms dense thickets</t>
  </si>
  <si>
    <t>Aquatic</t>
  </si>
  <si>
    <t>Grass</t>
  </si>
  <si>
    <t>Nitrogen fixing woody plant</t>
  </si>
  <si>
    <t>Geophyte</t>
  </si>
  <si>
    <t>Evidence of substantial reproductive failure in native habitat</t>
  </si>
  <si>
    <t>Produces viable seed</t>
  </si>
  <si>
    <t>Hybridizes naturally</t>
  </si>
  <si>
    <t>Self-compatible or apomictic</t>
  </si>
  <si>
    <t>Requires specialist pollinators</t>
  </si>
  <si>
    <t>Reproduction by vegetative propagation</t>
  </si>
  <si>
    <t>Minimum generative time (years)</t>
  </si>
  <si>
    <t>Propagules likely to be dispersed unintentionally (plants growing in heavily trafficked areas)</t>
  </si>
  <si>
    <t>Propagules dispersed intentionally by people</t>
  </si>
  <si>
    <t>Propagules likely to disperse as a produce contaminant</t>
  </si>
  <si>
    <t>Propagules adapted to wind dispersal</t>
  </si>
  <si>
    <t>Propagules water dispersed</t>
  </si>
  <si>
    <t>Propagules bird dispersed</t>
  </si>
  <si>
    <t>Propagules dispersed by other animals (externally)</t>
  </si>
  <si>
    <t>Propagules dispersed by other animals (internally)</t>
  </si>
  <si>
    <t>Prolific seed production</t>
  </si>
  <si>
    <t>Evidence that a persistent propagule bank is formed (&gt;1 yr)</t>
  </si>
  <si>
    <t>Well controlled by herbicides</t>
  </si>
  <si>
    <t>Tolerates, or benefits from, mutilation or cultivation</t>
  </si>
  <si>
    <t>Effective natural enemies present in U.S.</t>
  </si>
  <si>
    <t>Total Score</t>
  </si>
  <si>
    <t>Outcome</t>
  </si>
  <si>
    <t>Section</t>
  </si>
  <si>
    <t># of questions answered</t>
  </si>
  <si>
    <t>satisfy minimum?</t>
  </si>
  <si>
    <t>A</t>
  </si>
  <si>
    <t>B</t>
  </si>
  <si>
    <t>C</t>
  </si>
  <si>
    <t>total</t>
  </si>
  <si>
    <t>Do not complete unless the Outcome (cell D54) is "Evaluate Further"</t>
  </si>
  <si>
    <t xml:space="preserve">Secondary Screening </t>
  </si>
  <si>
    <t xml:space="preserve"> Taxon shade-tolerant or forms dense stands?</t>
  </si>
  <si>
    <t xml:space="preserve"> Taxon is clearly bird- or wind-dispersed?</t>
  </si>
  <si>
    <t xml:space="preserve"> Taxon's life cycle &lt;4 years?</t>
  </si>
  <si>
    <t xml:space="preserve"> Weed of cultivated land?</t>
  </si>
  <si>
    <t xml:space="preserve"> Unpalatable to grazing animals?</t>
  </si>
  <si>
    <t xml:space="preserve"> Forms dense stands/populations?</t>
  </si>
  <si>
    <t xml:space="preserve"> Taxon a tree or tree-like shrub?</t>
  </si>
  <si>
    <t xml:space="preserve"> Taxon herbaceous or a low-growing shrub?</t>
  </si>
  <si>
    <t xml:space="preserve"> Taxon a vine or liana?</t>
  </si>
  <si>
    <t>Secondary Screening result:</t>
  </si>
  <si>
    <t>Scorecard</t>
  </si>
  <si>
    <t>Lookup Table A1:</t>
  </si>
  <si>
    <t>N Score</t>
  </si>
  <si>
    <t>Y Score</t>
  </si>
  <si>
    <t>Locate value of inputs and lookup output for each question</t>
  </si>
  <si>
    <r>
      <rPr>
        <b/>
        <sz val="11"/>
        <color theme="1"/>
        <rFont val="Calibri"/>
        <family val="2"/>
        <scheme val="minor"/>
      </rPr>
      <t>A</t>
    </r>
    <r>
      <rPr>
        <sz val="11"/>
        <color theme="1"/>
        <rFont val="Calibri"/>
        <family val="2"/>
        <scheme val="minor"/>
      </rPr>
      <t xml:space="preserve"> C</t>
    </r>
  </si>
  <si>
    <r>
      <t xml:space="preserve">                                         </t>
    </r>
    <r>
      <rPr>
        <b/>
        <i/>
        <sz val="11"/>
        <color theme="1"/>
        <rFont val="Calibri"/>
        <family val="2"/>
        <scheme val="minor"/>
      </rPr>
      <t xml:space="preserve"> Yes</t>
    </r>
    <r>
      <rPr>
        <sz val="11"/>
        <color theme="1"/>
        <rFont val="Calibri"/>
        <family val="2"/>
        <scheme val="minor"/>
      </rPr>
      <t xml:space="preserve"> to questions 3.01-3.05</t>
    </r>
  </si>
  <si>
    <t>default</t>
  </si>
  <si>
    <t>Inputs</t>
  </si>
  <si>
    <t>The response to qestions 2.01 and 2.02 is 2 unless a climate analysis is done</t>
  </si>
  <si>
    <t>Results</t>
  </si>
  <si>
    <t>Refer to lookup Table A1</t>
  </si>
  <si>
    <r>
      <t xml:space="preserve">       </t>
    </r>
    <r>
      <rPr>
        <b/>
        <i/>
        <sz val="11"/>
        <color theme="1"/>
        <rFont val="Calibri"/>
        <family val="2"/>
        <scheme val="minor"/>
      </rPr>
      <t xml:space="preserve">  No</t>
    </r>
    <r>
      <rPr>
        <sz val="11"/>
        <color theme="1"/>
        <rFont val="Calibri"/>
        <family val="2"/>
        <scheme val="minor"/>
      </rPr>
      <t xml:space="preserve"> to questions 3.01-3.02</t>
    </r>
  </si>
  <si>
    <t>E</t>
  </si>
  <si>
    <t xml:space="preserve">Input </t>
  </si>
  <si>
    <t>?</t>
  </si>
  <si>
    <t>N</t>
  </si>
  <si>
    <t>Y</t>
  </si>
  <si>
    <t>3.02-3.05</t>
  </si>
  <si>
    <r>
      <rPr>
        <b/>
        <sz val="11"/>
        <color theme="1"/>
        <rFont val="Calibri"/>
        <family val="2"/>
        <scheme val="minor"/>
      </rPr>
      <t>B</t>
    </r>
    <r>
      <rPr>
        <sz val="11"/>
        <color theme="1"/>
        <rFont val="Calibri"/>
        <family val="2"/>
        <scheme val="minor"/>
      </rPr>
      <t xml:space="preserve"> C</t>
    </r>
  </si>
  <si>
    <t>Lookup Table for 6.07</t>
  </si>
  <si>
    <t>Years</t>
  </si>
  <si>
    <t>Lookup for Secondary Screening (Vine/Liana Only)</t>
  </si>
  <si>
    <t>Test 1:</t>
  </si>
  <si>
    <t>Test 2:</t>
  </si>
  <si>
    <r>
      <rPr>
        <b/>
        <sz val="11"/>
        <color theme="1"/>
        <rFont val="Calibri"/>
        <family val="2"/>
        <scheme val="minor"/>
      </rPr>
      <t>C</t>
    </r>
    <r>
      <rPr>
        <sz val="11"/>
        <color theme="1"/>
        <rFont val="Calibri"/>
        <family val="2"/>
        <scheme val="minor"/>
      </rPr>
      <t xml:space="preserve"> E</t>
    </r>
  </si>
  <si>
    <t>Refer to lookup Table A3</t>
  </si>
  <si>
    <t>ZONES</t>
  </si>
  <si>
    <r>
      <t xml:space="preserve">Genus species </t>
    </r>
    <r>
      <rPr>
        <b/>
        <sz val="14"/>
        <rFont val="Calibri"/>
        <family val="2"/>
        <scheme val="minor"/>
      </rPr>
      <t xml:space="preserve">(common name) </t>
    </r>
  </si>
  <si>
    <t>Species suited to Florida's USDA climate zones (0-low; 1-intermediate; 2-high)
       North Zone: suited to Zones 8, 9
       Central Zone: suited to Zones 9, 10
       South Zone: suited to Zone 10</t>
  </si>
  <si>
    <t>Quality of climate match data (0-low; 1-intermediate; 2-high)</t>
  </si>
  <si>
    <t xml:space="preserve">Implemented Pacific Second Screening </t>
  </si>
  <si>
    <t>Risk Assessment Results</t>
  </si>
  <si>
    <t>section</t>
  </si>
  <si>
    <t># questions answered</t>
  </si>
  <si>
    <t>Eucalyptus smithii</t>
  </si>
  <si>
    <r>
      <rPr>
        <sz val="11"/>
        <color rgb="FF000000"/>
        <rFont val="Calibri"/>
        <family val="2"/>
      </rPr>
      <t>Assessment date:</t>
    </r>
    <r>
      <rPr>
        <sz val="11"/>
        <color rgb="FFFF0000"/>
        <rFont val="Calibri"/>
        <family val="2"/>
      </rPr>
      <t xml:space="preserve"> November 20, 2025 </t>
    </r>
    <r>
      <rPr>
        <sz val="11"/>
        <color rgb="FF000000"/>
        <rFont val="Calibri"/>
        <family val="2"/>
      </rPr>
      <t xml:space="preserve"> Prepared by Seokmin Kim</t>
    </r>
  </si>
  <si>
    <t>n</t>
  </si>
  <si>
    <t>No evidence</t>
  </si>
  <si>
    <t>Not enough information for climate suitability modelling. 1. Global plant
hardiness zones 8-10; equivalent to USDA Hardiness zones
8a-10a (north, central south zones of Florida). 2.
Distributional range: Native to New South Wales (se) and
Victoria (e), Australia. 3. Found on the coastal ranges
adjacent to the escarpment and table lands of southern
NSW, and into the ranges of Victoria. Occurs on lower
slopes of hills, and on edges of streams and swamps. 4.
Locally frequent, in shallow soils on sloping site; south from
Yerranderie. NSW subdivisions: SC, CT, ST. Other Australian
states: Vic. 5. South Africa, Swaziland, and Zimbabwe.</t>
  </si>
  <si>
    <t>1. PERAL NAPPFAST Global Plant Hardiness
(http://www.nappfast.org/Plant_hardiness/NAPPFAST%20
Global%20zones/10-
year%20climate/PLANT_HARDINESS_10YR%20lgnd.tif) &amp; 2.
USDA/ARS-GRIN [Online Database]. National Germplasm
Resources Laboratory, Beltsville, Maryland (http://www.ars-
grin.gov/cgi-bin/npgs/html/taxon.pl?15948. 15 December
2011. 3. Ecocrop . Copyright 1993-2007. Food and
Agriculture Organization of the United Nations. Web. 31
January 2012.
http://ecocrop.fao.org/ecocrop/srv/en/home. 4. The Royal
Botanic Gardens and Domain Trust ([31 January 2012]).
PlantNET - The Plant Information Network System of The
Royal Botanic Gardens and Domain Trust, Sydney, Australia
(2.0 [1991]). http://plantnet.rbgsyd.nsw.gov.au. 5. FAO
Forestry Department. 1995. Non-Wood Forest Products.
Flavours and fragances of plant origin, Chapter 5 Eucalyptus
Oil. FAO, Rome. E-Book. 1 February 2012.
http://www.fao.org/docrep/V5350E/V5350E00.htm.</t>
  </si>
  <si>
    <t xml:space="preserve">Not enough information for climate suitability modelling. </t>
  </si>
  <si>
    <t>[1] https://www.gbif.org/species/3177175</t>
  </si>
  <si>
    <t>Limited to a few locations and climates. (1)</t>
  </si>
  <si>
    <t>[1] https://www.cabidigitallibrary.org/doi/full/10.1079/cabicompendium.22862</t>
  </si>
  <si>
    <t>Rainfall limits from 750-1700mm (29.5- 66.9inches) (1)</t>
  </si>
  <si>
    <t>FAO Forestry Department. 1995. Non-Wood Forest
Products. Flavours and fragances of plant origin, Chapter 5
Eucalyptus Oil. FAO, Rome. E-Book. 1 February 2012.
http://www.fao.org/docrep/V5350E/V5350E00.htm (1) Multiple occurrences focused around New Zealand, parts of Africa, and Brazil (2)</t>
  </si>
  <si>
    <t>1. Grows very well under local conditions in South Africa
(grown for mining timber) and Swaziland producing large
amounts of leaf biomass and has led to it being the
preferred species for oil production over other species.
Zimbabwe is a minor producer. (2) https://www.gbif.org/species/3177175</t>
  </si>
  <si>
    <t>y</t>
  </si>
  <si>
    <t>1. The following eucalypts are considered principal weeds
in Australia (principal weed in this context is ranked
according to the importance of the weed and is usually
referring to about the five most troublesome species for
the crop): E. cambageana, E. ferruginea, E. gracilis, E.
marginata, E. miniata, E. pilularis, E. populnea, E.
tetradonta.</t>
  </si>
  <si>
    <t>1. Holm, L. et al. A Geographical Atlas of World Weeds.
John Wiley and Sons, New York. 1979.</t>
  </si>
  <si>
    <t>Not enough information found</t>
  </si>
  <si>
    <t>Contains toxic compounds (1). However, unclear if it can lead to toxicity in the field</t>
  </si>
  <si>
    <t>[1] https://www.nhrorganicoils.com/uploads/20250725110542e_Eucalyptus_Smithii_MSDS.pdf</t>
  </si>
  <si>
    <t>Can be host to termites, although it is noted to be somewhat tolerant (1) (2). Additionally, 3.a. Thaumastocoris peregrinus (bronze bug) is a
gregarious, sap-sucking bug that has become a significant
pest in commercially important exotic Eucalyptus
plantations of South Africa. Infests many eucalypts species
and hybrids, including E. smithii . 3.b. Phytophthora
nicotianae (Phytophthora rot) has been recovered from
dead and dying Eucalyptus spp. E. smithii (Maseko et al.,
2001). It is believed that this is the causative agent in cooler
areas of root and collar rot. It has a very wide host range
that includes other tree species and crops.</t>
  </si>
  <si>
    <t>[1] Atkinson, P. R., Nixon, K. M., &amp; Shaw, M. J. P. (1992). On the susceptibility of Eucalyptus species and clones to attack by Macrotermes natalensis Haviland (Isoptera: Termitidae). Forest Ecology and Management, 48(1-2), 15-30. [2] https://www.cabidigitallibrary.org/doi/full/10.1079/cabicompendium.22862 [3] FAO. 2007. Forest Health &amp; Biosecurity Working Papers
Overview of Forest Pests – South Africa. Working Paper
FBS/30E, FAO, Rome. 31 January 2012.
http://www.fao.org/docrep/012/al019e/al019e00.pdf.</t>
  </si>
  <si>
    <t>[1] https://wildasthewind.com/product/eucalyptus-smithii-essential-oil/ [2]  sigmaaldrich.com/ZA/en/product/mm/843788</t>
  </si>
  <si>
    <t>Contains essential oils (such as 1,8-cineole) that are highly flammable (1) (2)</t>
  </si>
  <si>
    <t>Not enough information found on taxon. However, congeners in general require plenty of sun to grow (1) (2)</t>
  </si>
  <si>
    <t>[1] https://www.gardenia.net/guide/eucalyptus-how-to-grow-care [2] https://www.douglascountymg.org/ask-a-master-gardener-eucalyptus/</t>
  </si>
  <si>
    <t>1. Boland, D.J. et al. Forest Trees of Australia . 5th ed.
Collingswood, Victoria, Australia: CSIRO, 2006. Print.</t>
  </si>
  <si>
    <t>1. Prefers clay loams or deep sandy loams over clays; will
grow on a wide range of soils. Poorer soils ar oftern sand
over sandstone or conglomerate.</t>
  </si>
  <si>
    <t>Not of the Poaceae family</t>
  </si>
  <si>
    <t>Seeds sold online (1) (2)</t>
  </si>
  <si>
    <t>[1] https://www.livinggreenandfeelingseedy.com/product-page/eucalyptus-smithii-blackbutt-peppermint-gully-gum-100-seeds [2] https://www.ebay.com/itm/360324070043</t>
  </si>
  <si>
    <t>Noted to be vegetatively propaged by cuttings and tissue culture (1). Not enough supporting information found.</t>
  </si>
  <si>
    <t>"Although Eucalyptus seeds is very light and small, it is not adapted to wind dispersal…" (1). Eucalyptus seeds in general can potentially be dispersed by wind, but only along limited distances (&lt;53 meters) (2)</t>
  </si>
  <si>
    <t>[1] https://www.aphis.usda.gov/sites/default/files/08_011116rm_ea.pdf [2] Booth, T. H. (2017). Going nowhere fast: a review of seed dispersal in eucalypts. Australian Journal of Botany, 65(5), 401-410.</t>
  </si>
  <si>
    <t>Not enough information found. Possible as seeds are small, but direct numbers not found</t>
  </si>
  <si>
    <t>No information found regarding potential for seeds to float</t>
  </si>
  <si>
    <t>Possible as seeds are small. No direct information found</t>
  </si>
  <si>
    <t>Not enough information found on the taxon. However, eucalyptus in general are not noted to be dispersed zoochorically (1) (2)</t>
  </si>
  <si>
    <t>[1] Booth, T. H. (2017). Going nowhere fast: a review of seed dispersal in eucalypts. Australian Journal of Botany, 65(5), 401-410. [2]  Southern, S.G. et al. 2004. Review of gene movement by
bats and birds and its potential significance for eucalypt
plantation forestry. Australian Forestry , 67(1): 44-53.</t>
  </si>
  <si>
    <t>No direct evidence found on taxon, but eucalypt seeds in general are not known to have dormancy in soils for more than a year (1)</t>
  </si>
  <si>
    <t>[1] Rejmánek, M. &amp; D.M. Richardson. 2011. Eucalypts (203-
209). In D. Simberloff &amp; M. Rejmánek, eds. Encyclopedia of
Biological Invasions . Berkeley: University of California
Press.</t>
  </si>
  <si>
    <t>No direct evidence found on taxon, but eucalypts in general are noted to be controlled by herbicides (triclopyr or glyphosate). [1]</t>
  </si>
  <si>
    <t>1. FAO Forestry Department. 1995. Non-Wood Forest
Products. Flavours and fragances of plant origin, Chapter 5
Eucalyptus Oil. FAO, Rome. E-Book. 1 February 2012.
http://www.fao.org/docrep/V5350E/V5350E00.htm. 2.
Rejmánek, M. &amp; D.M. Richardson. 2011. Eucalypts (203-
209). In D. Simberloff &amp; M. Rejmánek, eds. Encyclopedia of
Biological Invasions. Berkeley: University of California Press.</t>
  </si>
  <si>
    <t>1. In Swaziland E. smithii responds well to coppicing; the
first cut is made 20-24 months after planting and
subsequent cuts of the coppice regrowth are made at
approximately 16 month intervals. Harvesting may continue
for as much as 20 years or more. 2. Has a regenerative
strategy as a lignotuber sprouter.</t>
  </si>
  <si>
    <t>no</t>
  </si>
  <si>
    <t>yes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</si>
</sst>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color theme="1"/>
      <name val="Calibri"/>
      <family val="2"/>
      <scheme val="minor"/>
    </font>
    <font>
      <b/>
      <sz val="11"/>
      <color theme="1"/>
      <name val="Calibri"/>
      <family val="2"/>
      <scheme val="minor"/>
    </font>
    <font>
      <b/>
      <sz val="11"/>
      <color theme="1" tint="0.499984740745262"/>
      <name val="Calibri"/>
      <family val="2"/>
      <scheme val="minor"/>
    </font>
    <font>
      <sz val="8"/>
      <color theme="1"/>
      <name val="Calibri"/>
      <family val="2"/>
      <scheme val="minor"/>
    </font>
    <font>
      <sz val="7"/>
      <color theme="1"/>
      <name val="Calibri"/>
      <family val="2"/>
      <scheme val="minor"/>
    </font>
    <font>
      <b/>
      <i/>
      <sz val="11"/>
      <color theme="1"/>
      <name val="Calibri"/>
      <family val="2"/>
      <scheme val="minor"/>
    </font>
    <font>
      <b/>
      <sz val="11"/>
      <name val="Calibri"/>
      <family val="2"/>
      <scheme val="minor"/>
    </font>
    <font>
      <sz val="11"/>
      <color rgb="FFFF0000"/>
      <name val="Calibri"/>
      <family val="2"/>
      <scheme val="minor"/>
    </font>
    <font>
      <sz val="12"/>
      <name val="Calibri"/>
      <family val="2"/>
      <scheme val="minor"/>
    </font>
    <font>
      <b/>
      <i/>
      <sz val="14"/>
      <name val="Calibri"/>
      <family val="2"/>
      <scheme val="minor"/>
    </font>
    <font>
      <sz val="11"/>
      <color indexed="8"/>
      <name val="Calibri"/>
      <family val="2"/>
      <scheme val="minor"/>
    </font>
    <font>
      <sz val="9"/>
      <color indexed="8"/>
      <name val="Helvetica"/>
      <family val="2"/>
    </font>
    <font>
      <sz val="11"/>
      <name val="Calibri"/>
      <family val="2"/>
      <scheme val="minor"/>
    </font>
    <font>
      <b/>
      <sz val="11"/>
      <color indexed="8"/>
      <name val="Calibri"/>
      <family val="2"/>
      <scheme val="minor"/>
    </font>
    <font>
      <b/>
      <sz val="9"/>
      <color indexed="8"/>
      <name val="Helvetica"/>
      <family val="2"/>
    </font>
    <font>
      <b/>
      <sz val="9"/>
      <name val="Arial"/>
      <family val="2"/>
    </font>
    <font>
      <b/>
      <sz val="10"/>
      <name val="Calibri"/>
      <family val="2"/>
      <scheme val="minor"/>
    </font>
    <font>
      <sz val="9"/>
      <name val="Arial"/>
      <family val="2"/>
    </font>
    <font>
      <sz val="10"/>
      <name val="Calibri"/>
      <family val="2"/>
      <scheme val="minor"/>
    </font>
    <font>
      <b/>
      <sz val="14"/>
      <name val="Calibri"/>
      <family val="2"/>
      <scheme val="minor"/>
    </font>
    <font>
      <sz val="10"/>
      <name val="Arial"/>
      <family val="2"/>
    </font>
    <font>
      <sz val="11"/>
      <name val="Calibri"/>
      <family val="2"/>
    </font>
    <font>
      <sz val="11"/>
      <name val="Arial"/>
      <family val="2"/>
    </font>
    <font>
      <sz val="10"/>
      <name val="Calibri"/>
      <family val="2"/>
    </font>
    <font>
      <b/>
      <sz val="12"/>
      <color theme="4"/>
      <name val="Arial"/>
      <family val="2"/>
    </font>
    <font>
      <sz val="11"/>
      <color rgb="FF000000"/>
      <name val="Calibri"/>
      <family val="2"/>
    </font>
    <font>
      <sz val="10"/>
      <color theme="1"/>
      <name val="Calibri"/>
      <family val="2"/>
    </font>
    <font>
      <sz val="11"/>
      <color rgb="FFFF0000"/>
      <name val="Calibri"/>
      <family val="2"/>
    </font>
    <font>
      <sz val="11"/>
      <color theme="1"/>
      <name val="Calibri"/>
      <family val="2"/>
    </font>
    <font>
      <b/>
      <sz val="11"/>
      <color rgb="FFFF0000"/>
      <name val="Calibri"/>
      <family val="2"/>
      <scheme val="minor"/>
    </font>
    <font>
      <sz val="11"/>
      <color rgb="FF000000"/>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2"/>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FFFF"/>
        <bgColor indexed="64"/>
      </patternFill>
    </fill>
  </fills>
  <borders count="38">
    <border>
      <left/>
      <right/>
      <top/>
      <bottom/>
      <diagonal/>
    </border>
    <border>
      <left/>
      <right/>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diagonal/>
    </border>
    <border>
      <left/>
      <right style="double">
        <color indexed="64"/>
      </right>
      <top/>
      <bottom/>
      <diagonal/>
    </border>
    <border>
      <left style="thin">
        <color theme="2"/>
      </left>
      <right style="thin">
        <color theme="2"/>
      </right>
      <top style="thin">
        <color theme="2"/>
      </top>
      <bottom style="thin">
        <color theme="2"/>
      </bottom>
      <diagonal/>
    </border>
    <border>
      <left/>
      <right style="thin">
        <color theme="2"/>
      </right>
      <top style="thin">
        <color theme="2"/>
      </top>
      <bottom style="thin">
        <color theme="2"/>
      </bottom>
      <diagonal/>
    </border>
    <border>
      <left style="thin">
        <color theme="2"/>
      </left>
      <right/>
      <top/>
      <bottom style="double">
        <color theme="2"/>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style="thin">
        <color auto="1"/>
      </top>
      <bottom/>
      <diagonal/>
    </border>
    <border>
      <left style="medium">
        <color indexed="64"/>
      </left>
      <right/>
      <top style="medium">
        <color indexed="64"/>
      </top>
      <bottom style="thin">
        <color indexed="64"/>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top style="thin">
        <color indexed="64"/>
      </top>
      <bottom/>
      <diagonal/>
    </border>
  </borders>
  <cellStyleXfs count="1">
    <xf numFmtId="0" fontId="0" fillId="0" borderId="0" applyProtection="0"/>
  </cellStyleXfs>
  <cellXfs count="156">
    <xf numFmtId="0" fontId="0" fillId="0" borderId="0" xfId="0"/>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9" xfId="0" applyBorder="1"/>
    <xf numFmtId="0" fontId="0" fillId="0" borderId="20" xfId="0" applyBorder="1"/>
    <xf numFmtId="0" fontId="0" fillId="0" borderId="21" xfId="0" applyBorder="1"/>
    <xf numFmtId="0" fontId="0" fillId="0" borderId="15" xfId="0" applyBorder="1" applyAlignment="1">
      <alignment horizontal="center"/>
    </xf>
    <xf numFmtId="0" fontId="0" fillId="0" borderId="0" xfId="0" applyAlignment="1">
      <alignment horizontal="center" vertical="center"/>
    </xf>
    <xf numFmtId="0" fontId="0" fillId="0" borderId="15" xfId="0" applyBorder="1" applyAlignment="1">
      <alignment horizontal="center" vertical="center"/>
    </xf>
    <xf numFmtId="0" fontId="0" fillId="0" borderId="0" xfId="0" applyAlignment="1">
      <alignment horizontal="center"/>
    </xf>
    <xf numFmtId="0" fontId="0" fillId="0" borderId="20" xfId="0" applyBorder="1" applyAlignment="1">
      <alignment horizontal="center" vertical="center"/>
    </xf>
    <xf numFmtId="0" fontId="0" fillId="0" borderId="20" xfId="0" applyBorder="1" applyAlignment="1">
      <alignment horizontal="center"/>
    </xf>
    <xf numFmtId="0" fontId="0" fillId="0" borderId="21" xfId="0" applyBorder="1" applyAlignment="1">
      <alignment horizontal="center"/>
    </xf>
    <xf numFmtId="0" fontId="1" fillId="0" borderId="15" xfId="0" applyFont="1" applyBorder="1" applyAlignment="1">
      <alignment horizontal="center"/>
    </xf>
    <xf numFmtId="0" fontId="1" fillId="0" borderId="0" xfId="0" applyFont="1" applyAlignment="1" applyProtection="1">
      <alignment horizontal="center" vertical="top"/>
      <protection locked="0"/>
    </xf>
    <xf numFmtId="0" fontId="1" fillId="0" borderId="0" xfId="0" applyFont="1" applyAlignment="1" applyProtection="1">
      <alignment horizontal="center" vertical="top" wrapText="1"/>
    </xf>
    <xf numFmtId="0" fontId="1" fillId="0" borderId="4" xfId="0" applyFont="1" applyBorder="1" applyAlignment="1" applyProtection="1">
      <alignment wrapText="1"/>
    </xf>
    <xf numFmtId="0" fontId="0" fillId="0" borderId="23" xfId="0" applyBorder="1" applyAlignment="1" applyProtection="1">
      <alignment horizontal="center" vertical="center" wrapText="1"/>
    </xf>
    <xf numFmtId="0" fontId="0" fillId="0" borderId="6" xfId="0" applyBorder="1" applyAlignment="1" applyProtection="1">
      <alignment horizontal="center" vertical="center" wrapText="1"/>
    </xf>
    <xf numFmtId="0" fontId="1" fillId="0" borderId="2" xfId="0" applyFont="1" applyBorder="1" applyAlignment="1" applyProtection="1">
      <alignment wrapText="1"/>
    </xf>
    <xf numFmtId="0" fontId="1" fillId="0" borderId="3" xfId="0" applyFont="1" applyBorder="1" applyAlignment="1" applyProtection="1">
      <alignment wrapText="1"/>
    </xf>
    <xf numFmtId="0" fontId="0" fillId="0" borderId="0" xfId="0" applyAlignment="1" applyProtection="1">
      <alignment horizontal="center" vertical="center" wrapText="1"/>
    </xf>
    <xf numFmtId="0" fontId="1" fillId="0" borderId="5" xfId="0" applyFont="1" applyBorder="1" applyAlignment="1" applyProtection="1">
      <alignment wrapText="1"/>
    </xf>
    <xf numFmtId="0" fontId="0" fillId="0" borderId="1" xfId="0" applyBorder="1" applyAlignment="1" applyProtection="1">
      <alignment horizontal="center" vertical="center" wrapText="1"/>
    </xf>
    <xf numFmtId="0" fontId="1" fillId="0" borderId="0" xfId="0" applyFont="1" applyAlignment="1" applyProtection="1">
      <alignment wrapText="1"/>
    </xf>
    <xf numFmtId="0" fontId="1" fillId="0" borderId="22" xfId="0" applyFont="1" applyBorder="1" applyAlignment="1" applyProtection="1">
      <alignment wrapText="1"/>
    </xf>
    <xf numFmtId="0" fontId="6" fillId="0" borderId="22" xfId="0" applyFont="1" applyBorder="1" applyAlignment="1" applyProtection="1">
      <alignment wrapText="1"/>
    </xf>
    <xf numFmtId="2" fontId="10" fillId="0" borderId="29" xfId="0" applyNumberFormat="1" applyFont="1" applyBorder="1" applyAlignment="1">
      <alignment horizontal="left" vertical="top" wrapText="1"/>
    </xf>
    <xf numFmtId="2" fontId="11" fillId="5" borderId="29" xfId="0" applyNumberFormat="1" applyFont="1" applyFill="1" applyBorder="1" applyAlignment="1">
      <alignment horizontal="left" vertical="top" wrapText="1"/>
    </xf>
    <xf numFmtId="0" fontId="13" fillId="5" borderId="29" xfId="0" applyFont="1" applyFill="1" applyBorder="1" applyAlignment="1">
      <alignment vertical="top" wrapText="1"/>
    </xf>
    <xf numFmtId="0" fontId="12" fillId="5" borderId="29" xfId="0" applyFont="1" applyFill="1" applyBorder="1" applyAlignment="1">
      <alignment horizontal="left" vertical="top" wrapText="1"/>
    </xf>
    <xf numFmtId="0" fontId="6" fillId="5" borderId="29" xfId="0" applyFont="1" applyFill="1" applyBorder="1" applyAlignment="1">
      <alignment vertical="top" wrapText="1"/>
    </xf>
    <xf numFmtId="2" fontId="10" fillId="0" borderId="0" xfId="0" applyNumberFormat="1" applyFont="1" applyAlignment="1">
      <alignment horizontal="right" vertical="top" wrapText="1"/>
    </xf>
    <xf numFmtId="0" fontId="10" fillId="0" borderId="0" xfId="0" applyFont="1" applyAlignment="1">
      <alignment vertical="top" wrapText="1"/>
    </xf>
    <xf numFmtId="0" fontId="12" fillId="0" borderId="0" xfId="0" applyFont="1"/>
    <xf numFmtId="0" fontId="14" fillId="0" borderId="2" xfId="0" applyFont="1" applyBorder="1" applyAlignment="1">
      <alignment vertical="top" wrapText="1"/>
    </xf>
    <xf numFmtId="0" fontId="15" fillId="0" borderId="3" xfId="0" applyFont="1" applyBorder="1" applyAlignment="1">
      <alignment wrapText="1"/>
    </xf>
    <xf numFmtId="0" fontId="16" fillId="0" borderId="4" xfId="0" applyFont="1" applyBorder="1" applyAlignment="1">
      <alignment wrapText="1"/>
    </xf>
    <xf numFmtId="0" fontId="17" fillId="0" borderId="22" xfId="0" applyFont="1" applyBorder="1"/>
    <xf numFmtId="0" fontId="17" fillId="0" borderId="0" xfId="0" applyFont="1"/>
    <xf numFmtId="0" fontId="18" fillId="0" borderId="23" xfId="0" applyFont="1" applyBorder="1"/>
    <xf numFmtId="0" fontId="17" fillId="0" borderId="5" xfId="0" applyFont="1" applyBorder="1"/>
    <xf numFmtId="0" fontId="17" fillId="0" borderId="1" xfId="0" applyFont="1" applyBorder="1"/>
    <xf numFmtId="0" fontId="18" fillId="0" borderId="6" xfId="0" applyFont="1" applyBorder="1"/>
    <xf numFmtId="0" fontId="6" fillId="4" borderId="29" xfId="0" applyFont="1" applyFill="1" applyBorder="1" applyAlignment="1">
      <alignment horizontal="center" wrapText="1"/>
    </xf>
    <xf numFmtId="0" fontId="6" fillId="4" borderId="29" xfId="0" applyFont="1" applyFill="1" applyBorder="1" applyAlignment="1">
      <alignment horizontal="center" vertical="top"/>
    </xf>
    <xf numFmtId="0" fontId="6" fillId="4" borderId="29" xfId="0" applyFont="1" applyFill="1" applyBorder="1" applyAlignment="1">
      <alignment horizontal="center" vertical="top" wrapText="1"/>
    </xf>
    <xf numFmtId="0" fontId="20" fillId="0" borderId="29" xfId="0" applyFont="1" applyBorder="1" applyAlignment="1">
      <alignment vertical="center" wrapText="1"/>
    </xf>
    <xf numFmtId="0" fontId="0" fillId="0" borderId="29" xfId="0" applyBorder="1" applyAlignment="1">
      <alignment vertical="center" wrapText="1"/>
    </xf>
    <xf numFmtId="0" fontId="21" fillId="0" borderId="29" xfId="0" applyFont="1" applyBorder="1" applyAlignment="1">
      <alignment vertical="center" wrapText="1"/>
    </xf>
    <xf numFmtId="0" fontId="12" fillId="0" borderId="29" xfId="0" applyFont="1" applyBorder="1" applyAlignment="1">
      <alignment vertical="center" wrapText="1"/>
    </xf>
    <xf numFmtId="0" fontId="22" fillId="0" borderId="29" xfId="0" applyFont="1" applyBorder="1" applyAlignment="1">
      <alignment vertical="center" wrapText="1"/>
    </xf>
    <xf numFmtId="0" fontId="23" fillId="0" borderId="29" xfId="0" applyFont="1" applyBorder="1" applyAlignment="1">
      <alignment vertical="center" wrapText="1"/>
    </xf>
    <xf numFmtId="0" fontId="0" fillId="0" borderId="0" xfId="0" applyAlignment="1" applyProtection="1">
      <alignment wrapText="1"/>
      <protection locked="0"/>
    </xf>
    <xf numFmtId="0" fontId="0" fillId="3" borderId="24" xfId="0" applyFill="1" applyBorder="1" applyAlignment="1" applyProtection="1">
      <alignment wrapText="1"/>
      <protection locked="0"/>
    </xf>
    <xf numFmtId="0" fontId="0" fillId="0" borderId="0" xfId="0" applyProtection="1">
      <protection locked="0"/>
    </xf>
    <xf numFmtId="0" fontId="0" fillId="0" borderId="0" xfId="0" applyAlignment="1" applyProtection="1">
      <alignment wrapText="1"/>
    </xf>
    <xf numFmtId="0" fontId="0" fillId="3" borderId="0" xfId="0" applyFill="1" applyAlignment="1" applyProtection="1">
      <alignment wrapText="1"/>
    </xf>
    <xf numFmtId="0" fontId="0" fillId="0" borderId="4" xfId="0" applyBorder="1" applyAlignment="1" applyProtection="1">
      <alignment horizontal="center" vertical="center" wrapText="1"/>
    </xf>
    <xf numFmtId="0" fontId="0" fillId="3" borderId="25" xfId="0" applyFill="1" applyBorder="1" applyAlignment="1" applyProtection="1">
      <alignment wrapText="1"/>
      <protection locked="0"/>
    </xf>
    <xf numFmtId="0" fontId="0" fillId="0" borderId="26" xfId="0" applyBorder="1" applyAlignment="1" applyProtection="1">
      <alignment wrapText="1"/>
      <protection locked="0"/>
    </xf>
    <xf numFmtId="0" fontId="0" fillId="0" borderId="0" xfId="0" applyAlignment="1" applyProtection="1">
      <alignment horizontal="left" vertical="top" wrapText="1"/>
      <protection locked="0"/>
    </xf>
    <xf numFmtId="0" fontId="0" fillId="3" borderId="24" xfId="0" applyFill="1" applyBorder="1" applyProtection="1">
      <protection locked="0"/>
    </xf>
    <xf numFmtId="2" fontId="10" fillId="0" borderId="0" xfId="0" applyNumberFormat="1" applyFont="1" applyAlignment="1" applyProtection="1">
      <alignment horizontal="right" vertical="top" wrapText="1"/>
    </xf>
    <xf numFmtId="0" fontId="10" fillId="0" borderId="0" xfId="0" applyFont="1" applyAlignment="1" applyProtection="1">
      <alignment vertical="top" wrapText="1"/>
    </xf>
    <xf numFmtId="0" fontId="12" fillId="0" borderId="0" xfId="0" applyFont="1" applyAlignment="1" applyProtection="1">
      <alignment vertical="top" wrapText="1"/>
    </xf>
    <xf numFmtId="0" fontId="1" fillId="0" borderId="2" xfId="0" applyFont="1" applyBorder="1" applyAlignment="1" applyProtection="1">
      <alignment horizontal="left" vertical="center" wrapText="1"/>
    </xf>
    <xf numFmtId="0" fontId="1" fillId="0" borderId="5" xfId="0" applyFont="1" applyBorder="1" applyAlignment="1" applyProtection="1">
      <alignment horizontal="left" vertical="center" wrapText="1"/>
    </xf>
    <xf numFmtId="0" fontId="0" fillId="0" borderId="14" xfId="0" applyBorder="1" applyProtection="1"/>
    <xf numFmtId="0" fontId="1" fillId="3" borderId="30" xfId="0" applyFont="1" applyFill="1" applyBorder="1" applyAlignment="1" applyProtection="1">
      <alignment horizontal="right"/>
    </xf>
    <xf numFmtId="0" fontId="6" fillId="4" borderId="29" xfId="0" applyFont="1" applyFill="1" applyBorder="1" applyAlignment="1" applyProtection="1">
      <alignment horizontal="center" vertical="center" wrapText="1"/>
    </xf>
    <xf numFmtId="2" fontId="10" fillId="0" borderId="29" xfId="0" applyNumberFormat="1" applyFont="1" applyBorder="1" applyAlignment="1" applyProtection="1">
      <alignment horizontal="left" vertical="top" wrapText="1"/>
    </xf>
    <xf numFmtId="0" fontId="10" fillId="0" borderId="10" xfId="0" applyFont="1" applyBorder="1" applyAlignment="1" applyProtection="1">
      <alignment vertical="top" wrapText="1"/>
    </xf>
    <xf numFmtId="0" fontId="11" fillId="0" borderId="29" xfId="0" applyFont="1" applyBorder="1" applyAlignment="1" applyProtection="1">
      <alignment horizontal="center" vertical="top" wrapText="1"/>
    </xf>
    <xf numFmtId="0" fontId="11" fillId="0" borderId="0" xfId="0" applyFont="1" applyAlignment="1" applyProtection="1">
      <alignment vertical="center" wrapText="1"/>
    </xf>
    <xf numFmtId="0" fontId="11" fillId="0" borderId="0" xfId="0" applyFont="1" applyAlignment="1" applyProtection="1">
      <alignment vertical="top" wrapText="1"/>
    </xf>
    <xf numFmtId="0" fontId="0" fillId="0" borderId="29" xfId="0" applyBorder="1" applyAlignment="1" applyProtection="1">
      <alignment horizontal="center" vertical="top" wrapText="1"/>
    </xf>
    <xf numFmtId="0" fontId="12" fillId="0" borderId="10" xfId="0" applyFont="1" applyBorder="1" applyAlignment="1" applyProtection="1">
      <alignment vertical="top" wrapText="1"/>
    </xf>
    <xf numFmtId="16" fontId="11" fillId="0" borderId="29" xfId="0" applyNumberFormat="1" applyFont="1" applyBorder="1" applyAlignment="1" applyProtection="1">
      <alignment horizontal="center" vertical="top" wrapText="1"/>
    </xf>
    <xf numFmtId="0" fontId="0" fillId="0" borderId="29" xfId="0" applyBorder="1" applyAlignment="1" applyProtection="1">
      <alignment horizontal="center"/>
    </xf>
    <xf numFmtId="0" fontId="0" fillId="3" borderId="29" xfId="0" applyFill="1" applyBorder="1" applyAlignment="1" applyProtection="1">
      <alignment horizontal="center"/>
    </xf>
    <xf numFmtId="16" fontId="0" fillId="0" borderId="0" xfId="0" applyNumberFormat="1" applyAlignment="1" applyProtection="1">
      <alignment wrapText="1"/>
      <protection locked="0"/>
    </xf>
    <xf numFmtId="0" fontId="7" fillId="0" borderId="0" xfId="0" applyFont="1" applyAlignment="1" applyProtection="1">
      <alignment wrapText="1"/>
      <protection locked="0"/>
    </xf>
    <xf numFmtId="0" fontId="10" fillId="0" borderId="0" xfId="0" applyFont="1" applyAlignment="1" applyProtection="1">
      <alignment vertical="top" wrapText="1"/>
      <protection locked="0"/>
    </xf>
    <xf numFmtId="2" fontId="10" fillId="0" borderId="0" xfId="0" applyNumberFormat="1" applyFont="1" applyAlignment="1" applyProtection="1">
      <alignment horizontal="right" vertical="top" wrapText="1"/>
      <protection locked="0"/>
    </xf>
    <xf numFmtId="0" fontId="2" fillId="3" borderId="24" xfId="0" applyFont="1" applyFill="1" applyBorder="1" applyAlignment="1" applyProtection="1">
      <alignment horizontal="center" vertical="top" wrapText="1"/>
    </xf>
    <xf numFmtId="0" fontId="0" fillId="0" borderId="15" xfId="0" applyBorder="1" applyAlignment="1" applyProtection="1">
      <alignment horizontal="center"/>
    </xf>
    <xf numFmtId="0" fontId="0" fillId="0" borderId="21" xfId="0" applyBorder="1" applyAlignment="1" applyProtection="1">
      <alignment horizontal="center"/>
    </xf>
    <xf numFmtId="0" fontId="0" fillId="0" borderId="19" xfId="0" applyBorder="1" applyProtection="1"/>
    <xf numFmtId="0" fontId="0" fillId="0" borderId="0" xfId="0" applyAlignment="1" applyProtection="1">
      <alignment horizontal="center"/>
      <protection locked="0"/>
    </xf>
    <xf numFmtId="0" fontId="0" fillId="0" borderId="20" xfId="0" applyBorder="1" applyAlignment="1" applyProtection="1">
      <alignment horizontal="center"/>
      <protection locked="0"/>
    </xf>
    <xf numFmtId="0" fontId="0" fillId="0" borderId="0" xfId="0" applyAlignment="1" applyProtection="1">
      <alignment horizontal="center" vertical="center"/>
      <protection locked="0"/>
    </xf>
    <xf numFmtId="0" fontId="0" fillId="0" borderId="37" xfId="0" applyBorder="1" applyAlignment="1">
      <alignment horizontal="center"/>
    </xf>
    <xf numFmtId="0" fontId="0" fillId="0" borderId="19" xfId="0" applyBorder="1" applyAlignment="1">
      <alignment horizontal="center"/>
    </xf>
    <xf numFmtId="0" fontId="0" fillId="0" borderId="15" xfId="0" applyBorder="1" applyAlignment="1" applyProtection="1">
      <alignment horizontal="center" vertical="center"/>
    </xf>
    <xf numFmtId="0" fontId="24" fillId="5" borderId="28" xfId="0" applyFont="1" applyFill="1" applyBorder="1" applyAlignment="1" applyProtection="1">
      <alignment horizontal="left" vertical="center"/>
      <protection locked="0"/>
    </xf>
    <xf numFmtId="0" fontId="20" fillId="0" borderId="0" xfId="0" applyFont="1" applyAlignment="1" applyProtection="1">
      <alignment wrapText="1"/>
      <protection locked="0"/>
    </xf>
    <xf numFmtId="0" fontId="26" fillId="6" borderId="0" xfId="0" applyFont="1" applyFill="1" applyProtection="1">
      <protection locked="0"/>
    </xf>
    <xf numFmtId="0" fontId="26" fillId="6" borderId="0" xfId="0" applyFont="1" applyFill="1" applyAlignment="1" applyProtection="1">
      <alignment wrapText="1"/>
      <protection locked="0"/>
    </xf>
    <xf numFmtId="0" fontId="28" fillId="0" borderId="0" xfId="0" applyFont="1" applyAlignment="1" applyProtection="1">
      <alignment wrapText="1"/>
      <protection locked="0"/>
    </xf>
    <xf numFmtId="0" fontId="29" fillId="0" borderId="0" xfId="0" applyFont="1" applyAlignment="1" applyProtection="1">
      <alignment horizontal="center" vertical="top" wrapText="1"/>
      <protection locked="0"/>
    </xf>
    <xf numFmtId="0" fontId="0" fillId="3" borderId="32" xfId="0" applyFill="1" applyBorder="1" applyAlignment="1" applyProtection="1">
      <alignment horizontal="center"/>
    </xf>
    <xf numFmtId="0" fontId="0" fillId="3" borderId="31" xfId="0" applyFill="1" applyBorder="1" applyAlignment="1" applyProtection="1">
      <alignment horizontal="center"/>
    </xf>
    <xf numFmtId="0" fontId="0" fillId="0" borderId="0" xfId="0" applyAlignment="1" applyProtection="1">
      <alignment horizontal="center"/>
      <protection locked="0"/>
    </xf>
    <xf numFmtId="0" fontId="0" fillId="0" borderId="15" xfId="0" applyBorder="1" applyAlignment="1" applyProtection="1">
      <alignment horizontal="center"/>
      <protection locked="0"/>
    </xf>
    <xf numFmtId="0" fontId="1" fillId="0" borderId="20" xfId="0" applyFont="1" applyBorder="1" applyAlignment="1" applyProtection="1">
      <alignment horizontal="center" wrapText="1"/>
      <protection locked="0"/>
    </xf>
    <xf numFmtId="0" fontId="1" fillId="2" borderId="30" xfId="0" applyFont="1" applyFill="1" applyBorder="1" applyAlignment="1" applyProtection="1">
      <alignment horizontal="center" wrapText="1"/>
    </xf>
    <xf numFmtId="0" fontId="1" fillId="2" borderId="32" xfId="0" applyFont="1" applyFill="1" applyBorder="1" applyAlignment="1" applyProtection="1">
      <alignment horizontal="center" wrapText="1"/>
    </xf>
    <xf numFmtId="0" fontId="1" fillId="2" borderId="31" xfId="0" applyFont="1" applyFill="1" applyBorder="1" applyAlignment="1" applyProtection="1">
      <alignment horizontal="center" wrapText="1"/>
    </xf>
    <xf numFmtId="0" fontId="0" fillId="0" borderId="1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0" xfId="0" applyAlignment="1" applyProtection="1">
      <alignment horizontal="center" wrapText="1"/>
      <protection locked="0"/>
    </xf>
    <xf numFmtId="0" fontId="0" fillId="0" borderId="15" xfId="0" applyBorder="1" applyAlignment="1" applyProtection="1">
      <alignment horizontal="center" wrapText="1"/>
      <protection locked="0"/>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0" xfId="0" applyAlignment="1">
      <alignment horizontal="center"/>
    </xf>
    <xf numFmtId="0" fontId="0" fillId="0" borderId="14" xfId="0" applyBorder="1" applyAlignment="1">
      <alignment vertical="top"/>
    </xf>
    <xf numFmtId="0" fontId="0" fillId="0" borderId="19" xfId="0" applyBorder="1" applyAlignment="1">
      <alignment vertical="top"/>
    </xf>
    <xf numFmtId="0" fontId="0" fillId="0" borderId="15"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0" fontId="4" fillId="2" borderId="7"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0" fillId="2" borderId="7" xfId="0" applyFill="1" applyBorder="1" applyAlignment="1">
      <alignment horizontal="center" vertical="center" wrapText="1"/>
    </xf>
    <xf numFmtId="0" fontId="0" fillId="2" borderId="16" xfId="0" applyFill="1" applyBorder="1" applyAlignment="1">
      <alignment horizontal="center" vertical="center" wrapText="1"/>
    </xf>
    <xf numFmtId="0" fontId="0" fillId="2" borderId="9" xfId="0" applyFill="1" applyBorder="1" applyAlignment="1">
      <alignment horizontal="center" vertical="center" wrapText="1"/>
    </xf>
    <xf numFmtId="0" fontId="0" fillId="2" borderId="15" xfId="0" applyFill="1" applyBorder="1" applyAlignment="1">
      <alignment horizontal="center" vertical="center" wrapText="1"/>
    </xf>
    <xf numFmtId="0" fontId="0" fillId="2" borderId="8" xfId="0" applyFill="1" applyBorder="1" applyAlignment="1">
      <alignment horizontal="center" vertical="center" wrapText="1"/>
    </xf>
    <xf numFmtId="0" fontId="0" fillId="2" borderId="17" xfId="0" applyFill="1" applyBorder="1" applyAlignment="1">
      <alignment horizontal="center" vertical="center" wrapText="1"/>
    </xf>
    <xf numFmtId="0" fontId="3" fillId="2" borderId="10" xfId="0" applyFont="1" applyFill="1" applyBorder="1" applyAlignment="1">
      <alignment horizontal="center"/>
    </xf>
    <xf numFmtId="0" fontId="3" fillId="2" borderId="18" xfId="0" applyFont="1" applyFill="1" applyBorder="1" applyAlignment="1">
      <alignment horizontal="center"/>
    </xf>
    <xf numFmtId="0" fontId="0" fillId="0" borderId="14" xfId="0" applyBorder="1"/>
    <xf numFmtId="0" fontId="0" fillId="0" borderId="0" xfId="0"/>
    <xf numFmtId="0" fontId="0" fillId="0" borderId="15" xfId="0" applyBorder="1"/>
    <xf numFmtId="0" fontId="0" fillId="0" borderId="14" xfId="0" applyBorder="1" applyAlignment="1">
      <alignment horizontal="left" vertical="top"/>
    </xf>
    <xf numFmtId="0" fontId="0" fillId="0" borderId="0" xfId="0" applyAlignment="1">
      <alignment horizontal="left" vertical="top"/>
    </xf>
    <xf numFmtId="0" fontId="0" fillId="0" borderId="34" xfId="0" applyBorder="1" applyAlignment="1">
      <alignment horizontal="center"/>
    </xf>
    <xf numFmtId="0" fontId="0" fillId="0" borderId="35" xfId="0" applyBorder="1" applyAlignment="1">
      <alignment horizontal="center"/>
    </xf>
    <xf numFmtId="0" fontId="0" fillId="0" borderId="36" xfId="0" applyBorder="1" applyAlignment="1">
      <alignment horizontal="center"/>
    </xf>
    <xf numFmtId="0" fontId="0" fillId="0" borderId="33" xfId="0" applyBorder="1"/>
    <xf numFmtId="0" fontId="0" fillId="0" borderId="16" xfId="0" applyBorder="1"/>
    <xf numFmtId="0" fontId="0" fillId="0" borderId="20" xfId="0" applyBorder="1"/>
    <xf numFmtId="0" fontId="0" fillId="0" borderId="21" xfId="0" applyBorder="1"/>
    <xf numFmtId="0" fontId="9" fillId="4" borderId="10" xfId="0" applyFont="1" applyFill="1" applyBorder="1" applyAlignment="1" applyProtection="1">
      <alignment horizontal="center" vertical="center" wrapText="1"/>
    </xf>
    <xf numFmtId="0" fontId="9" fillId="4" borderId="28" xfId="0" applyFont="1" applyFill="1" applyBorder="1" applyAlignment="1" applyProtection="1">
      <alignment horizontal="center" vertical="center" wrapText="1"/>
    </xf>
    <xf numFmtId="0" fontId="6" fillId="5" borderId="29" xfId="0" applyFont="1" applyFill="1" applyBorder="1" applyAlignment="1">
      <alignment horizontal="center" vertical="top" wrapText="1"/>
    </xf>
    <xf numFmtId="0" fontId="8" fillId="0" borderId="10" xfId="0" applyFont="1" applyBorder="1" applyAlignment="1" applyProtection="1">
      <alignment horizontal="left"/>
    </xf>
    <xf numFmtId="0" fontId="8" fillId="0" borderId="27" xfId="0" applyFont="1" applyBorder="1" applyAlignment="1" applyProtection="1">
      <alignment horizontal="left"/>
    </xf>
    <xf numFmtId="0" fontId="30" fillId="0" borderId="0" xfId="0" applyFont="1" applyAlignment="1" applyProtection="1">
      <alignment horizontal="left" vertical="top" wrapText="1"/>
      <protection locked="0"/>
    </xf>
  </cellXfs>
  <cellStyles count="1">
    <cellStyle name="Normal" xfId="0" builtinId="0"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266700</xdr:colOff>
      <xdr:row>0</xdr:row>
      <xdr:rowOff>142876</xdr:rowOff>
    </xdr:from>
    <xdr:to>
      <xdr:col>2</xdr:col>
      <xdr:colOff>19050</xdr:colOff>
      <xdr:row>0</xdr:row>
      <xdr:rowOff>1130127</xdr:rowOff>
    </xdr:to>
    <xdr:pic>
      <xdr:nvPicPr>
        <xdr:cNvPr id="3" name="Picture 2" descr="Screen Shot 2015-03-11 at 10.50.32 AM.png">
          <a:extLst>
            <a:ext uri="{FF2B5EF4-FFF2-40B4-BE49-F238E27FC236}">
              <a16:creationId xmlns:a16="http://schemas.microsoft.com/office/drawing/2014/main" id="{625CA487-A7E6-4CD2-8D94-2F6184FF09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2950" y="142876"/>
          <a:ext cx="4048125" cy="98725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230ED-15D9-4079-BE3B-A424EDD1BAFC}">
  <dimension ref="A1:H107"/>
  <sheetViews>
    <sheetView tabSelected="1" topLeftCell="A50" zoomScale="125" zoomScaleNormal="125" workbookViewId="0">
      <pane xSplit="1" topLeftCell="B1" activePane="topRight" state="frozen"/>
      <selection pane="topRight" activeCell="F59" sqref="F59"/>
    </sheetView>
  </sheetViews>
  <sheetFormatPr baseColWidth="10" defaultColWidth="9.1640625" defaultRowHeight="15" x14ac:dyDescent="0.2"/>
  <cols>
    <col min="1" max="1" width="9" style="58" customWidth="1"/>
    <col min="2" max="2" width="45.5" style="58" customWidth="1"/>
    <col min="3" max="3" width="12.5" style="58" customWidth="1"/>
    <col min="4" max="4" width="9.5" style="58" bestFit="1" customWidth="1"/>
    <col min="5" max="5" width="12.33203125" style="65" hidden="1" customWidth="1"/>
    <col min="6" max="6" width="61.5" style="58" customWidth="1"/>
    <col min="7" max="7" width="43.33203125" style="58" customWidth="1"/>
    <col min="8" max="8" width="27.1640625" style="85" customWidth="1"/>
    <col min="9" max="16384" width="9.1640625" style="58"/>
  </cols>
  <sheetData>
    <row r="1" spans="1:8" ht="30" customHeight="1" x14ac:dyDescent="0.2">
      <c r="A1" s="27" t="s">
        <v>0</v>
      </c>
      <c r="B1" s="85" t="s">
        <v>113</v>
      </c>
      <c r="C1" s="56"/>
      <c r="D1" s="56"/>
      <c r="E1" s="57"/>
      <c r="F1" s="102" t="s">
        <v>114</v>
      </c>
      <c r="G1" s="56"/>
    </row>
    <row r="2" spans="1:8" s="17" customFormat="1" ht="30.75" customHeight="1" x14ac:dyDescent="0.2">
      <c r="A2" s="18" t="s">
        <v>1</v>
      </c>
      <c r="B2" s="18" t="s">
        <v>2</v>
      </c>
      <c r="C2" s="18" t="s">
        <v>3</v>
      </c>
      <c r="D2" s="18" t="s">
        <v>4</v>
      </c>
      <c r="E2" s="88" t="s">
        <v>5</v>
      </c>
      <c r="F2" s="18" t="s">
        <v>6</v>
      </c>
      <c r="G2" s="18" t="s">
        <v>7</v>
      </c>
      <c r="H2" s="103"/>
    </row>
    <row r="3" spans="1:8" ht="16" x14ac:dyDescent="0.2">
      <c r="A3" s="66">
        <v>1.01</v>
      </c>
      <c r="B3" s="67" t="s">
        <v>8</v>
      </c>
      <c r="C3" s="56" t="s">
        <v>115</v>
      </c>
      <c r="D3" s="59">
        <f>IF(C3="Y",-3,IF(C3="N",0," "))</f>
        <v>0</v>
      </c>
      <c r="E3" s="57"/>
      <c r="F3" s="99" t="s">
        <v>116</v>
      </c>
      <c r="G3" s="64"/>
    </row>
    <row r="4" spans="1:8" ht="16" x14ac:dyDescent="0.2">
      <c r="A4" s="66">
        <v>1.02</v>
      </c>
      <c r="B4" s="67" t="s">
        <v>9</v>
      </c>
      <c r="C4" s="56"/>
      <c r="D4" s="59" t="str">
        <f>IF(C4="n",VLOOKUP(LUT!C5,LUT!C4:E52,2),IF(C4="y",VLOOKUP(LUT!C5,LUT!C4:E52,3)," "))</f>
        <v xml:space="preserve"> </v>
      </c>
      <c r="E4" s="57"/>
      <c r="F4" s="64"/>
      <c r="G4" s="64"/>
    </row>
    <row r="5" spans="1:8" ht="16" x14ac:dyDescent="0.2">
      <c r="A5" s="66">
        <v>1.03</v>
      </c>
      <c r="B5" s="67" t="s">
        <v>10</v>
      </c>
      <c r="C5" s="56"/>
      <c r="D5" s="59" t="str">
        <f>IF(C5="Y",1,IF(C5="N",-1," "))</f>
        <v xml:space="preserve"> </v>
      </c>
      <c r="E5" s="57"/>
      <c r="F5" s="64"/>
      <c r="G5" s="64"/>
    </row>
    <row r="6" spans="1:8" ht="409.6" x14ac:dyDescent="0.2">
      <c r="A6" s="66">
        <v>2.0099999999999998</v>
      </c>
      <c r="B6" s="67" t="s">
        <v>11</v>
      </c>
      <c r="C6" s="56">
        <v>3</v>
      </c>
      <c r="D6" s="60"/>
      <c r="E6" s="57"/>
      <c r="F6" s="99" t="s">
        <v>117</v>
      </c>
      <c r="G6" s="56" t="s">
        <v>118</v>
      </c>
    </row>
    <row r="7" spans="1:8" ht="32" x14ac:dyDescent="0.2">
      <c r="A7" s="66">
        <v>2.02</v>
      </c>
      <c r="B7" s="67" t="s">
        <v>12</v>
      </c>
      <c r="C7" s="56">
        <v>1</v>
      </c>
      <c r="D7" s="60"/>
      <c r="E7" s="57"/>
      <c r="F7" s="99" t="s">
        <v>119</v>
      </c>
      <c r="G7" s="64"/>
    </row>
    <row r="8" spans="1:8" ht="16" x14ac:dyDescent="0.2">
      <c r="A8" s="66">
        <v>2.0299999999999998</v>
      </c>
      <c r="B8" s="67" t="s">
        <v>13</v>
      </c>
      <c r="C8" s="56" t="s">
        <v>115</v>
      </c>
      <c r="D8" s="59">
        <f>IF(C8="y",1,IF(C8="n",0," "))</f>
        <v>0</v>
      </c>
      <c r="E8" s="57"/>
      <c r="F8" s="99" t="s">
        <v>121</v>
      </c>
      <c r="G8" s="99" t="s">
        <v>120</v>
      </c>
    </row>
    <row r="9" spans="1:8" ht="64" x14ac:dyDescent="0.2">
      <c r="A9" s="66">
        <v>2.04</v>
      </c>
      <c r="B9" s="67" t="s">
        <v>14</v>
      </c>
      <c r="C9" s="56" t="s">
        <v>126</v>
      </c>
      <c r="D9" s="59">
        <f>IF(C9="y",1,IF(C9="n",0," "))</f>
        <v>1</v>
      </c>
      <c r="E9" s="57"/>
      <c r="F9" s="58" t="s">
        <v>123</v>
      </c>
      <c r="G9" s="99" t="s">
        <v>122</v>
      </c>
    </row>
    <row r="10" spans="1:8" ht="128" x14ac:dyDescent="0.2">
      <c r="A10" s="66">
        <v>2.0499999999999998</v>
      </c>
      <c r="B10" s="67" t="s">
        <v>15</v>
      </c>
      <c r="C10" s="56" t="s">
        <v>126</v>
      </c>
      <c r="D10" s="60"/>
      <c r="E10" s="57"/>
      <c r="F10" s="56" t="s">
        <v>124</v>
      </c>
      <c r="G10" s="56" t="s">
        <v>125</v>
      </c>
    </row>
    <row r="11" spans="1:8" ht="16" x14ac:dyDescent="0.2">
      <c r="A11" s="66">
        <v>3.01</v>
      </c>
      <c r="B11" s="67" t="s">
        <v>16</v>
      </c>
      <c r="C11" s="56" t="s">
        <v>115</v>
      </c>
      <c r="D11" s="59">
        <f>IF(C11="n",LOOKUP($C$10,LUT!$I$13:$L$13,LUT!$I$14:$L$14),IF(AND(C11="y",AND($C$6=1,$C$7=1)),2,IF(AND(C11="y",AND($C$6=1,$C$7=2)),1,IF(AND(C11="y",AND($C$6=1,$C$7=3)),1,IF(AND(C11="y",AND($C$6=2,$C$7=1)),2,IF(AND(C11="y",AND($C$6=2,$C$7=2)),2,IF(AND(C11="y",AND($C$6=2,$C$7=3)),1,IF(AND(C11="y",AND($C$6=3,$C$7=1)),2,IF(AND(C11="y",AND($C$6=3,$C$7=2)),2,IF(AND(C11="y",AND($C$6=3,$C$7=3)),2,""))))))))))</f>
        <v>-2</v>
      </c>
      <c r="E11" s="57"/>
      <c r="F11" s="58" t="s">
        <v>116</v>
      </c>
    </row>
    <row r="12" spans="1:8" ht="16" x14ac:dyDescent="0.2">
      <c r="A12" s="66">
        <v>3.02</v>
      </c>
      <c r="B12" s="67" t="s">
        <v>17</v>
      </c>
      <c r="C12" s="56" t="s">
        <v>115</v>
      </c>
      <c r="D12" s="59">
        <f>IF(C12="n",LOOKUP($C$10,LUT!$I$13:$L$13,LUT!$I$15:$L$15),IF(AND(C12="y",AND($C$6=1,$C$7=1)),2,IF(AND(C12="y",AND($C$6=1,$C$7=2)),1,IF(AND(C12="y",AND($C$6=1,$C$7=3)),1,IF(AND(C12="y",AND($C$6=2,$C$7=1)),2,IF(AND(C12="y",AND($C$6=2,$C$7=2)),2,IF(AND(C12="y",AND($C$6=2,$C$7=3)),1,IF(AND(C12="y",AND($C$6=3,$C$7=1)),2,IF(AND(C12="y",AND($C$6=3,$C$7=2)),2,IF(AND(C12="y",AND($C$6=3,$C$7=3)),2,""))))))))))</f>
        <v>0</v>
      </c>
      <c r="E12" s="57"/>
      <c r="F12" s="101"/>
      <c r="G12" s="56"/>
    </row>
    <row r="13" spans="1:8" ht="16" x14ac:dyDescent="0.2">
      <c r="A13" s="66">
        <v>3.03</v>
      </c>
      <c r="B13" s="67" t="s">
        <v>18</v>
      </c>
      <c r="C13" s="56" t="s">
        <v>115</v>
      </c>
      <c r="D13" s="59">
        <f>IF(C13="n",LOOKUP($C$10,LUT!$I$13:$L$13,LUT!$I$15:$L$15),IF(AND(C13="y",AND($C$6=1,$C$7=1)),4,IF(AND(C13="y",AND($C$6=1,$C$7=2)),2,IF(AND(C13="y",AND($C$6=1,$C$7=3)),1,IF(AND(C13="y",AND($C$6=2,$C$7=1)),4,IF(AND(C13="y",AND($C$6=2,$C$7=2)),3,IF(AND(C13="y",AND($C$6=2,$C$7=3)),2,IF(AND(C13="y",AND($C$6=3,$C$7=1)),4,IF(AND(C13="y",AND($C$6=3,$C$7=2)),4,IF(AND(C13="y",AND($C$6=3,$C$7=3)),4,""))))))))))</f>
        <v>0</v>
      </c>
      <c r="E13" s="57"/>
      <c r="F13" s="100"/>
      <c r="G13" s="64"/>
    </row>
    <row r="14" spans="1:8" ht="16" x14ac:dyDescent="0.2">
      <c r="A14" s="66">
        <v>3.04</v>
      </c>
      <c r="B14" s="67" t="s">
        <v>19</v>
      </c>
      <c r="C14" s="56" t="s">
        <v>115</v>
      </c>
      <c r="D14" s="59">
        <f>IF(C14="n",LOOKUP($C$10,LUT!$I$13:$L$13,LUT!$I$15:$L$15),IF(AND(C14="y",AND($C$6=1,$C$7=1)),4,IF(AND(C14="y",AND($C$6=1,$C$7=2)),2,IF(AND(C14="y",AND($C$6=1,$C$7=3)),1,IF(AND(C14="y",AND($C$6=2,$C$7=1)),4,IF(AND(C14="y",AND($C$6=2,$C$7=2)),3,IF(AND(C14="y",AND($C$6=2,$C$7=3)),2,IF(AND(C14="y",AND($C$6=3,$C$7=1)),4,IF(AND(C14="y",AND($C$6=3,$C$7=2)),4,IF(AND(C14="y",AND($C$6=3,$C$7=3)),4,""))))))))))</f>
        <v>0</v>
      </c>
      <c r="E14" s="57"/>
      <c r="F14" s="64"/>
      <c r="G14" s="64"/>
    </row>
    <row r="15" spans="1:8" ht="112" x14ac:dyDescent="0.2">
      <c r="A15" s="66">
        <v>3.05</v>
      </c>
      <c r="B15" s="67" t="s">
        <v>20</v>
      </c>
      <c r="C15" s="56" t="s">
        <v>126</v>
      </c>
      <c r="D15" s="59">
        <f>IF(C15="n",LOOKUP($C$10,LUT!$I$13:$L$13,LUT!$I$15:$L$15),IF(AND(C15="y",AND($C$6=1,$C$7=1)),2,IF(AND(C15="y",AND($C$6=1,$C$7=2)),1,IF(AND(C15="y",AND($C$6=1,$C$7=3)),1,IF(AND(C15="y",AND($C$6=2,$C$7=1)),2,IF(AND(C15="y",AND($C$6=2,$C$7=2)),2,IF(AND(C15="y",AND($C$6=2,$C$7=3)),1,IF(AND(C15="y",AND($C$6=3,$C$7=1)),2,IF(AND(C15="y",AND($C$6=3,$C$7=2)),2,IF(AND(C15="y",AND($C$6=3,$C$7=3)),2,""))))))))))</f>
        <v>2</v>
      </c>
      <c r="E15" s="57"/>
      <c r="F15" s="56" t="s">
        <v>127</v>
      </c>
      <c r="G15" s="64" t="s">
        <v>128</v>
      </c>
    </row>
    <row r="16" spans="1:8" ht="16" x14ac:dyDescent="0.2">
      <c r="A16" s="66">
        <v>4.01</v>
      </c>
      <c r="B16" s="67" t="s">
        <v>21</v>
      </c>
      <c r="C16" s="56" t="s">
        <v>115</v>
      </c>
      <c r="D16" s="59">
        <f>IF(C16="y",VLOOKUP(LUT!C17,LUT!$C$4:$E$52,3),IF(C16="n",VLOOKUP(LUT!C17,LUT!$C$4:$E$52,2)," "))</f>
        <v>0</v>
      </c>
      <c r="E16" s="57"/>
      <c r="F16" s="64" t="s">
        <v>116</v>
      </c>
      <c r="G16" s="64"/>
    </row>
    <row r="17" spans="1:7" ht="16" x14ac:dyDescent="0.2">
      <c r="A17" s="66">
        <v>4.0199999999999996</v>
      </c>
      <c r="B17" s="67" t="s">
        <v>22</v>
      </c>
      <c r="C17" s="56" t="s">
        <v>93</v>
      </c>
      <c r="D17" s="59" t="str">
        <f>IF(C17="y",VLOOKUP(LUT!C18,LUT!C4:E52,3),IF(C17="n",VLOOKUP(LUT!C18,LUT!C4:E52,2)," "))</f>
        <v xml:space="preserve"> </v>
      </c>
      <c r="E17" s="57"/>
      <c r="F17" s="64" t="s">
        <v>129</v>
      </c>
      <c r="G17" s="64"/>
    </row>
    <row r="18" spans="1:7" ht="16" x14ac:dyDescent="0.2">
      <c r="A18" s="66">
        <v>4.03</v>
      </c>
      <c r="B18" s="67" t="s">
        <v>23</v>
      </c>
      <c r="C18" s="56" t="s">
        <v>115</v>
      </c>
      <c r="D18" s="59">
        <f>IF(C18="y",VLOOKUP(LUT!C19,LUT!$C$4:$E$52,3),IF(C18="n",VLOOKUP(LUT!C19,LUT!$C$4:$E$52,2)," "))</f>
        <v>0</v>
      </c>
      <c r="E18" s="57"/>
      <c r="F18" s="64" t="s">
        <v>116</v>
      </c>
      <c r="G18" s="64"/>
    </row>
    <row r="19" spans="1:7" ht="16" x14ac:dyDescent="0.2">
      <c r="A19" s="66">
        <v>4.04</v>
      </c>
      <c r="B19" s="67" t="s">
        <v>24</v>
      </c>
      <c r="C19" s="56" t="s">
        <v>93</v>
      </c>
      <c r="D19" s="59" t="str">
        <f>IF(C19="y",VLOOKUP(LUT!C20,LUT!$C$4:$E$52,3),IF(C19="n",VLOOKUP(LUT!C20,LUT!$C$4:$E$52,2)," "))</f>
        <v xml:space="preserve"> </v>
      </c>
      <c r="E19" s="57"/>
      <c r="F19" s="64" t="s">
        <v>129</v>
      </c>
      <c r="G19" s="64"/>
    </row>
    <row r="20" spans="1:7" ht="48" x14ac:dyDescent="0.2">
      <c r="A20" s="66">
        <v>4.05</v>
      </c>
      <c r="B20" s="67" t="s">
        <v>25</v>
      </c>
      <c r="C20" s="56" t="s">
        <v>93</v>
      </c>
      <c r="D20" s="59" t="str">
        <f>IF(C20="y",VLOOKUP(LUT!C21,LUT!$C$4:$E$52,3),IF(C20="n",VLOOKUP(LUT!C21,LUT!$C$4:$E$52,2)," "))</f>
        <v xml:space="preserve"> </v>
      </c>
      <c r="E20" s="57"/>
      <c r="F20" s="64" t="s">
        <v>130</v>
      </c>
      <c r="G20" s="64" t="s">
        <v>131</v>
      </c>
    </row>
    <row r="21" spans="1:7" ht="192" x14ac:dyDescent="0.2">
      <c r="A21" s="66">
        <v>4.0599999999999996</v>
      </c>
      <c r="B21" s="67" t="s">
        <v>26</v>
      </c>
      <c r="C21" s="56" t="s">
        <v>126</v>
      </c>
      <c r="D21" s="59">
        <f>IF(C21="y",VLOOKUP(LUT!C22,LUT!$C$4:$E$52,3),IF(C21="n",VLOOKUP(LUT!C22,LUT!$C$4:$E$52,2)," "))</f>
        <v>1</v>
      </c>
      <c r="E21" s="57"/>
      <c r="F21" s="64" t="s">
        <v>132</v>
      </c>
      <c r="G21" s="64" t="s">
        <v>133</v>
      </c>
    </row>
    <row r="22" spans="1:7" ht="16" x14ac:dyDescent="0.2">
      <c r="A22" s="66">
        <v>4.07</v>
      </c>
      <c r="B22" s="67" t="s">
        <v>27</v>
      </c>
      <c r="C22" s="56" t="s">
        <v>115</v>
      </c>
      <c r="D22" s="59">
        <f>IF(C22="y",VLOOKUP(LUT!C23,LUT!$C$4:$E$52,3),IF(C22="n",VLOOKUP(LUT!C23,LUT!$C$4:$E$52,2)," "))</f>
        <v>0</v>
      </c>
      <c r="E22" s="57"/>
      <c r="F22" s="64" t="s">
        <v>116</v>
      </c>
      <c r="G22" s="64"/>
    </row>
    <row r="23" spans="1:7" ht="48" x14ac:dyDescent="0.2">
      <c r="A23" s="66">
        <v>4.08</v>
      </c>
      <c r="B23" s="67" t="s">
        <v>28</v>
      </c>
      <c r="C23" s="56" t="s">
        <v>126</v>
      </c>
      <c r="D23" s="59">
        <f>IF(C23="y",VLOOKUP(LUT!C24,LUT!$C$4:$E$52,3),IF(C23="n",VLOOKUP(LUT!C24,LUT!$C$4:$E$52,2)," "))</f>
        <v>1</v>
      </c>
      <c r="E23" s="57"/>
      <c r="F23" s="64" t="s">
        <v>135</v>
      </c>
      <c r="G23" s="64" t="s">
        <v>134</v>
      </c>
    </row>
    <row r="24" spans="1:7" ht="64" x14ac:dyDescent="0.2">
      <c r="A24" s="66">
        <v>4.09</v>
      </c>
      <c r="B24" s="67" t="s">
        <v>29</v>
      </c>
      <c r="C24" s="56" t="s">
        <v>115</v>
      </c>
      <c r="D24" s="59">
        <f>IF(C24="y",VLOOKUP(LUT!C25,LUT!$C$4:$E$52,3),IF(C24="n",VLOOKUP(LUT!C25,LUT!$C$4:$E$52,2)," "))</f>
        <v>0</v>
      </c>
      <c r="E24" s="57"/>
      <c r="F24" s="64" t="s">
        <v>136</v>
      </c>
      <c r="G24" s="64" t="s">
        <v>137</v>
      </c>
    </row>
    <row r="25" spans="1:7" ht="48" x14ac:dyDescent="0.2">
      <c r="A25" s="66">
        <v>4.0999999999999996</v>
      </c>
      <c r="B25" s="68" t="s">
        <v>30</v>
      </c>
      <c r="C25" s="56" t="s">
        <v>126</v>
      </c>
      <c r="D25" s="59">
        <f>IF(C25="y",VLOOKUP(LUT!C26,LUT!$C$4:$E$52,3),IF(C25="n",VLOOKUP(LUT!C26,LUT!$C$4:$E$52,2)," "))</f>
        <v>1</v>
      </c>
      <c r="E25" s="57"/>
      <c r="F25" s="56" t="s">
        <v>139</v>
      </c>
      <c r="G25" s="64" t="s">
        <v>138</v>
      </c>
    </row>
    <row r="26" spans="1:7" ht="16" x14ac:dyDescent="0.2">
      <c r="A26" s="66">
        <v>4.1100000000000003</v>
      </c>
      <c r="B26" s="67" t="s">
        <v>31</v>
      </c>
      <c r="C26" s="56" t="s">
        <v>115</v>
      </c>
      <c r="D26" s="59">
        <f>IF(C26="y",VLOOKUP(LUT!C27,LUT!$C$4:$E$52,3),IF(C26="n",VLOOKUP(LUT!C27,LUT!$C$4:$E$52,2)," "))</f>
        <v>0</v>
      </c>
      <c r="E26" s="57"/>
      <c r="F26" s="64" t="s">
        <v>116</v>
      </c>
      <c r="G26" s="64"/>
    </row>
    <row r="27" spans="1:7" ht="16" x14ac:dyDescent="0.2">
      <c r="A27" s="66">
        <v>4.12</v>
      </c>
      <c r="B27" s="67" t="s">
        <v>32</v>
      </c>
      <c r="C27" s="56" t="s">
        <v>115</v>
      </c>
      <c r="D27" s="59">
        <f>IF(C27="y",VLOOKUP(LUT!C28,LUT!$C$4:$E$52,3),IF(C27="n",VLOOKUP(LUT!C28,LUT!$C$4:$E$52,2)," "))</f>
        <v>0</v>
      </c>
      <c r="E27" s="57"/>
      <c r="F27" s="64" t="s">
        <v>116</v>
      </c>
      <c r="G27" s="64"/>
    </row>
    <row r="28" spans="1:7" ht="16" x14ac:dyDescent="0.2">
      <c r="A28" s="66">
        <v>5.01</v>
      </c>
      <c r="B28" s="67" t="s">
        <v>33</v>
      </c>
      <c r="C28" s="56" t="s">
        <v>115</v>
      </c>
      <c r="D28" s="59">
        <f>IF(C28="y",VLOOKUP(LUT!C29,LUT!$C$4:$E$52,3),IF(C28="n",VLOOKUP(LUT!C29,LUT!$C$4:$E$52,2)," "))</f>
        <v>0</v>
      </c>
      <c r="E28" s="57"/>
      <c r="F28" s="64" t="s">
        <v>116</v>
      </c>
      <c r="G28" s="64"/>
    </row>
    <row r="29" spans="1:7" ht="16" x14ac:dyDescent="0.2">
      <c r="A29" s="66">
        <v>5.0199999999999996</v>
      </c>
      <c r="B29" s="67" t="s">
        <v>34</v>
      </c>
      <c r="C29" s="56" t="s">
        <v>115</v>
      </c>
      <c r="D29" s="59">
        <f>IF(C29="y",VLOOKUP(LUT!C30,LUT!$C$4:$E$52,3),IF(C29="n",VLOOKUP(LUT!C30,LUT!$C$4:$E$52,2)," "))</f>
        <v>0</v>
      </c>
      <c r="E29" s="57"/>
      <c r="F29" s="64" t="s">
        <v>140</v>
      </c>
      <c r="G29" s="64"/>
    </row>
    <row r="30" spans="1:7" ht="16" x14ac:dyDescent="0.2">
      <c r="A30" s="66">
        <v>5.03</v>
      </c>
      <c r="B30" s="67" t="s">
        <v>35</v>
      </c>
      <c r="C30" s="56" t="s">
        <v>115</v>
      </c>
      <c r="D30" s="59">
        <f>IF(C30="y",VLOOKUP(LUT!C31,LUT!$C$4:$E$52,3),IF(C30="n",VLOOKUP(LUT!C31,LUT!$C$4:$E$52,2)," "))</f>
        <v>0</v>
      </c>
      <c r="E30" s="57"/>
      <c r="F30" s="64" t="s">
        <v>116</v>
      </c>
      <c r="G30" s="64"/>
    </row>
    <row r="31" spans="1:7" ht="16" x14ac:dyDescent="0.2">
      <c r="A31" s="66">
        <v>5.04</v>
      </c>
      <c r="B31" s="67" t="s">
        <v>36</v>
      </c>
      <c r="C31" s="56" t="s">
        <v>115</v>
      </c>
      <c r="D31" s="59">
        <f>IF(C31="y",VLOOKUP(LUT!C32,LUT!$C$4:$E$52,3),IF(C31="n",VLOOKUP(LUT!C32,LUT!$C$4:$E$52,2)," "))</f>
        <v>0</v>
      </c>
      <c r="E31" s="57"/>
      <c r="F31" s="64" t="s">
        <v>116</v>
      </c>
      <c r="G31" s="64"/>
    </row>
    <row r="32" spans="1:7" ht="32" x14ac:dyDescent="0.2">
      <c r="A32" s="66">
        <v>6.01</v>
      </c>
      <c r="B32" s="67" t="s">
        <v>37</v>
      </c>
      <c r="C32" s="56" t="s">
        <v>115</v>
      </c>
      <c r="D32" s="59">
        <f>IF(C32="y",VLOOKUP(LUT!C33,LUT!$C$4:$E$52,3),IF(C32="n",VLOOKUP(LUT!C33,LUT!$C$4:$E$52,2)," "))</f>
        <v>0</v>
      </c>
      <c r="E32" s="57"/>
      <c r="F32" s="64" t="s">
        <v>116</v>
      </c>
      <c r="G32" s="64"/>
    </row>
    <row r="33" spans="1:7" ht="80" x14ac:dyDescent="0.2">
      <c r="A33" s="66">
        <v>6.02</v>
      </c>
      <c r="B33" s="67" t="s">
        <v>38</v>
      </c>
      <c r="C33" s="56" t="s">
        <v>126</v>
      </c>
      <c r="D33" s="59">
        <f>IF(C33="y",VLOOKUP(LUT!C34,LUT!$C$4:$E$52,3),IF(C33="n",VLOOKUP(LUT!C34,LUT!$C$4:$E$52,2)," "))</f>
        <v>1</v>
      </c>
      <c r="E33" s="57"/>
      <c r="F33" s="64" t="s">
        <v>141</v>
      </c>
      <c r="G33" s="64" t="s">
        <v>142</v>
      </c>
    </row>
    <row r="34" spans="1:7" ht="16" x14ac:dyDescent="0.2">
      <c r="A34" s="66">
        <v>6.03</v>
      </c>
      <c r="B34" s="67" t="s">
        <v>39</v>
      </c>
      <c r="C34" s="56" t="s">
        <v>93</v>
      </c>
      <c r="D34" s="59" t="str">
        <f>IF(C34="y",VLOOKUP(LUT!C35,LUT!$C$4:$E$52,3),IF(C34="n",VLOOKUP(LUT!C35,LUT!$C$4:$E$52,2)," "))</f>
        <v xml:space="preserve"> </v>
      </c>
      <c r="E34" s="57"/>
      <c r="F34" s="64" t="s">
        <v>129</v>
      </c>
      <c r="G34" s="64"/>
    </row>
    <row r="35" spans="1:7" ht="16" x14ac:dyDescent="0.2">
      <c r="A35" s="66">
        <v>6.04</v>
      </c>
      <c r="B35" s="67" t="s">
        <v>40</v>
      </c>
      <c r="C35" s="56" t="s">
        <v>93</v>
      </c>
      <c r="D35" s="59" t="str">
        <f>IF(C35="y",VLOOKUP(LUT!C36,LUT!$C$4:$E$52,3),IF(C35="n",VLOOKUP(LUT!C36,LUT!$C$4:$E$52,2)," "))</f>
        <v xml:space="preserve"> </v>
      </c>
      <c r="E35" s="57"/>
      <c r="F35" s="64" t="s">
        <v>129</v>
      </c>
      <c r="G35" s="64"/>
    </row>
    <row r="36" spans="1:7" ht="16" x14ac:dyDescent="0.2">
      <c r="A36" s="66">
        <v>6.05</v>
      </c>
      <c r="B36" s="67" t="s">
        <v>41</v>
      </c>
      <c r="C36" s="56" t="s">
        <v>115</v>
      </c>
      <c r="D36" s="59">
        <f>IF(C36="y",VLOOKUP(LUT!C37,LUT!$C$4:$E$52,3),IF(C36="n",VLOOKUP(LUT!C37,LUT!$C$4:$E$52,2)," "))</f>
        <v>0</v>
      </c>
      <c r="E36" s="57"/>
      <c r="F36" s="64" t="s">
        <v>116</v>
      </c>
      <c r="G36" s="64"/>
    </row>
    <row r="37" spans="1:7" ht="48" x14ac:dyDescent="0.2">
      <c r="A37" s="66">
        <v>6.06</v>
      </c>
      <c r="B37" s="67" t="s">
        <v>42</v>
      </c>
      <c r="C37" s="56" t="s">
        <v>93</v>
      </c>
      <c r="D37" s="59" t="str">
        <f>IF(C37="y",VLOOKUP(LUT!C38,LUT!$C$4:$E$52,3),IF(C37="n",VLOOKUP(LUT!C38,LUT!$C$4:$E$52,2)," "))</f>
        <v xml:space="preserve"> </v>
      </c>
      <c r="E37" s="57"/>
      <c r="F37" s="64" t="s">
        <v>143</v>
      </c>
      <c r="G37" s="64" t="s">
        <v>122</v>
      </c>
    </row>
    <row r="38" spans="1:7" ht="16" x14ac:dyDescent="0.2">
      <c r="A38" s="66">
        <v>6.07</v>
      </c>
      <c r="B38" s="67" t="s">
        <v>43</v>
      </c>
      <c r="C38" s="84" t="s">
        <v>93</v>
      </c>
      <c r="D38" s="59" t="str">
        <f>IF(C38="1 or fewer",1,IF(C38="2 or 3",0,IF(C38&gt;="4 or more",-1," ")))</f>
        <v xml:space="preserve"> </v>
      </c>
      <c r="E38" s="57"/>
      <c r="F38" s="64" t="s">
        <v>129</v>
      </c>
      <c r="G38" s="64"/>
    </row>
    <row r="39" spans="1:7" ht="32" x14ac:dyDescent="0.2">
      <c r="A39" s="66">
        <v>7.01</v>
      </c>
      <c r="B39" s="67" t="s">
        <v>44</v>
      </c>
      <c r="C39" s="56" t="s">
        <v>115</v>
      </c>
      <c r="D39" s="59">
        <f>IF(C39="y",VLOOKUP(LUT!C40,LUT!$C$4:$E$52,3),IF(C39="n",VLOOKUP(LUT!C40,LUT!$C$4:$E$52,2)," "))</f>
        <v>-1</v>
      </c>
      <c r="E39" s="57"/>
      <c r="F39" s="101" t="s">
        <v>116</v>
      </c>
      <c r="G39" s="56"/>
    </row>
    <row r="40" spans="1:7" ht="80" x14ac:dyDescent="0.2">
      <c r="A40" s="66">
        <v>7.02</v>
      </c>
      <c r="B40" s="67" t="s">
        <v>45</v>
      </c>
      <c r="C40" s="56" t="s">
        <v>126</v>
      </c>
      <c r="D40" s="59">
        <f>IF(C40="y",VLOOKUP(LUT!C41,LUT!$C$4:$E$52,3),IF(C40="n",VLOOKUP(LUT!C41,LUT!$C$4:$E$52,2)," "))</f>
        <v>1</v>
      </c>
      <c r="E40" s="57"/>
      <c r="F40" s="155" t="s">
        <v>141</v>
      </c>
      <c r="G40" s="155" t="s">
        <v>142</v>
      </c>
    </row>
    <row r="41" spans="1:7" ht="16" x14ac:dyDescent="0.2">
      <c r="A41" s="66">
        <v>7.03</v>
      </c>
      <c r="B41" s="67" t="s">
        <v>46</v>
      </c>
      <c r="C41" s="56" t="s">
        <v>115</v>
      </c>
      <c r="D41" s="59">
        <f>IF(C41="y",VLOOKUP(LUT!C42,LUT!$C$4:$E$52,3),IF(C41="n",VLOOKUP(LUT!C42,LUT!$C$4:$E$52,2)," "))</f>
        <v>-1</v>
      </c>
      <c r="E41" s="57"/>
      <c r="F41" s="64" t="s">
        <v>116</v>
      </c>
      <c r="G41" s="64"/>
    </row>
    <row r="42" spans="1:7" ht="80" x14ac:dyDescent="0.2">
      <c r="A42" s="66">
        <v>7.04</v>
      </c>
      <c r="B42" s="67" t="s">
        <v>47</v>
      </c>
      <c r="C42" s="56" t="s">
        <v>115</v>
      </c>
      <c r="D42" s="59">
        <f>IF(C42="y",VLOOKUP(LUT!C43,LUT!$C$4:$E$52,3),IF(C42="n",VLOOKUP(LUT!C43,LUT!$C$4:$E$52,2)," "))</f>
        <v>-1</v>
      </c>
      <c r="E42" s="57"/>
      <c r="F42" s="64" t="s">
        <v>144</v>
      </c>
      <c r="G42" s="64" t="s">
        <v>145</v>
      </c>
    </row>
    <row r="43" spans="1:7" ht="16" x14ac:dyDescent="0.2">
      <c r="A43" s="66">
        <v>7.05</v>
      </c>
      <c r="B43" s="67" t="s">
        <v>48</v>
      </c>
      <c r="C43" s="56" t="s">
        <v>93</v>
      </c>
      <c r="D43" s="59" t="str">
        <f>IF(C43="y",VLOOKUP(LUT!C44,LUT!$C$4:$E$52,3),IF(C43="n",VLOOKUP(LUT!C44,LUT!$C$4:$E$52,2)," "))</f>
        <v xml:space="preserve"> </v>
      </c>
      <c r="E43" s="57"/>
      <c r="F43" s="64" t="s">
        <v>147</v>
      </c>
      <c r="G43" s="64"/>
    </row>
    <row r="44" spans="1:7" ht="16" x14ac:dyDescent="0.2">
      <c r="A44" s="66">
        <v>7.06</v>
      </c>
      <c r="B44" s="67" t="s">
        <v>49</v>
      </c>
      <c r="C44" s="56" t="s">
        <v>93</v>
      </c>
      <c r="D44" s="59" t="str">
        <f>IF(C44="y",VLOOKUP(LUT!C45,LUT!$C$4:$E$52,3),IF(C44="n",VLOOKUP(LUT!C45,LUT!$C$4:$E$52,2)," "))</f>
        <v xml:space="preserve"> </v>
      </c>
      <c r="E44" s="57"/>
      <c r="F44" s="64" t="s">
        <v>116</v>
      </c>
      <c r="G44" s="64"/>
    </row>
    <row r="45" spans="1:7" ht="16" x14ac:dyDescent="0.2">
      <c r="A45" s="66">
        <v>7.07</v>
      </c>
      <c r="B45" s="67" t="s">
        <v>50</v>
      </c>
      <c r="C45" s="56" t="s">
        <v>93</v>
      </c>
      <c r="D45" s="59" t="str">
        <f>IF(C45="y",VLOOKUP(LUT!C46,LUT!$C$4:$E$52,3),IF(C45="n",VLOOKUP(LUT!C46,LUT!$C$4:$E$52,2)," "))</f>
        <v xml:space="preserve"> </v>
      </c>
      <c r="E45" s="57"/>
      <c r="F45" s="64" t="s">
        <v>148</v>
      </c>
      <c r="G45" s="64"/>
    </row>
    <row r="46" spans="1:7" ht="112" x14ac:dyDescent="0.2">
      <c r="A46" s="66">
        <v>7.08</v>
      </c>
      <c r="B46" s="67" t="s">
        <v>51</v>
      </c>
      <c r="C46" s="56" t="s">
        <v>115</v>
      </c>
      <c r="D46" s="59">
        <f>IF(C46="y",VLOOKUP(LUT!C47,LUT!$C$4:$E$52,3),IF(C46="n",VLOOKUP(LUT!C47,LUT!$C$4:$E$52,2)," "))</f>
        <v>-1</v>
      </c>
      <c r="E46" s="57"/>
      <c r="F46" s="64" t="s">
        <v>149</v>
      </c>
      <c r="G46" s="64" t="s">
        <v>150</v>
      </c>
    </row>
    <row r="47" spans="1:7" ht="32" x14ac:dyDescent="0.2">
      <c r="A47" s="66">
        <v>8.01</v>
      </c>
      <c r="B47" s="67" t="s">
        <v>52</v>
      </c>
      <c r="C47" s="56" t="s">
        <v>93</v>
      </c>
      <c r="D47" s="59" t="str">
        <f>IF(C47="y",VLOOKUP(LUT!C48,LUT!$C$4:$E$52,3),IF(C47="n",VLOOKUP(LUT!C48,LUT!$C$4:$E$52,2)," "))</f>
        <v xml:space="preserve"> </v>
      </c>
      <c r="E47" s="57"/>
      <c r="F47" s="64" t="s">
        <v>146</v>
      </c>
      <c r="G47" s="64"/>
    </row>
    <row r="48" spans="1:7" ht="96" x14ac:dyDescent="0.2">
      <c r="A48" s="66">
        <v>8.02</v>
      </c>
      <c r="B48" s="67" t="s">
        <v>53</v>
      </c>
      <c r="C48" s="56" t="s">
        <v>115</v>
      </c>
      <c r="D48" s="59">
        <f>IF(C48="y",VLOOKUP(LUT!C49,LUT!$C$4:$E$52,3),IF(C48="n",VLOOKUP(LUT!C49,LUT!$C$4:$E$52,2)," "))</f>
        <v>-1</v>
      </c>
      <c r="E48" s="57"/>
      <c r="F48" s="64" t="s">
        <v>151</v>
      </c>
      <c r="G48" s="64" t="s">
        <v>152</v>
      </c>
    </row>
    <row r="49" spans="1:7" ht="96" x14ac:dyDescent="0.2">
      <c r="A49" s="66">
        <v>8.0299999999999994</v>
      </c>
      <c r="B49" s="67" t="s">
        <v>54</v>
      </c>
      <c r="C49" s="56" t="s">
        <v>126</v>
      </c>
      <c r="D49" s="59">
        <f>IF(C49="y",VLOOKUP(LUT!C50,LUT!$C$4:$E$52,3),IF(C49="n",VLOOKUP(LUT!C50,LUT!$C$4:$E$52,2)," "))</f>
        <v>-1</v>
      </c>
      <c r="E49" s="57"/>
      <c r="F49" s="64" t="s">
        <v>153</v>
      </c>
      <c r="G49" s="64" t="s">
        <v>152</v>
      </c>
    </row>
    <row r="50" spans="1:7" ht="192" x14ac:dyDescent="0.2">
      <c r="A50" s="66">
        <v>8.0399999999999991</v>
      </c>
      <c r="B50" s="67" t="s">
        <v>55</v>
      </c>
      <c r="C50" s="56" t="s">
        <v>126</v>
      </c>
      <c r="D50" s="59">
        <f>IF(C50="y",VLOOKUP(LUT!C51,LUT!$C$4:$E$52,3),IF(C50="n",VLOOKUP(LUT!C51,LUT!$C$4:$E$52,2)," "))</f>
        <v>1</v>
      </c>
      <c r="E50" s="57"/>
      <c r="F50" s="64" t="s">
        <v>155</v>
      </c>
      <c r="G50" s="64" t="s">
        <v>154</v>
      </c>
    </row>
    <row r="51" spans="1:7" ht="16" x14ac:dyDescent="0.2">
      <c r="A51" s="66">
        <v>8.0500000000000007</v>
      </c>
      <c r="B51" s="67" t="s">
        <v>56</v>
      </c>
      <c r="C51" s="56" t="s">
        <v>93</v>
      </c>
      <c r="D51" s="59" t="str">
        <f>IF(C51="y",VLOOKUP(LUT!C52,LUT!$C$4:$E$52,3),IF(C51="n",VLOOKUP(LUT!C52,LUT!$C$4:$E$52,2)," "))</f>
        <v xml:space="preserve"> </v>
      </c>
      <c r="E51" s="57"/>
      <c r="F51" s="64" t="s">
        <v>129</v>
      </c>
      <c r="G51" s="64"/>
    </row>
    <row r="52" spans="1:7" ht="16" thickBot="1" x14ac:dyDescent="0.25">
      <c r="A52" s="87"/>
      <c r="B52" s="86"/>
      <c r="C52" s="56"/>
      <c r="D52" s="56"/>
      <c r="E52" s="57"/>
      <c r="F52" s="56"/>
      <c r="G52" s="56"/>
    </row>
    <row r="53" spans="1:7" ht="29.25" customHeight="1" thickTop="1" x14ac:dyDescent="0.2">
      <c r="A53" s="56"/>
      <c r="B53" s="56"/>
      <c r="C53" s="69" t="s">
        <v>57</v>
      </c>
      <c r="D53" s="61">
        <f>SUM(D3:D51)</f>
        <v>1</v>
      </c>
      <c r="E53" s="62"/>
      <c r="F53" s="56"/>
      <c r="G53" s="56"/>
    </row>
    <row r="54" spans="1:7" ht="33" customHeight="1" thickBot="1" x14ac:dyDescent="0.25">
      <c r="A54" s="56"/>
      <c r="B54" s="56"/>
      <c r="C54" s="70" t="s">
        <v>58</v>
      </c>
      <c r="D54" s="21" t="str">
        <f>IF(E60="no","more info needed",IF(D53&lt;1,"accept",IF(D53&gt;6,"reject","evaluate further")))</f>
        <v>evaluate further</v>
      </c>
      <c r="E54" s="62"/>
      <c r="F54" s="56"/>
      <c r="G54" s="56"/>
    </row>
    <row r="55" spans="1:7" ht="17" thickTop="1" thickBot="1" x14ac:dyDescent="0.25">
      <c r="A55" s="56"/>
      <c r="B55" s="56"/>
      <c r="C55" s="56"/>
      <c r="D55" s="56"/>
      <c r="E55" s="57"/>
      <c r="F55" s="56"/>
      <c r="G55" s="56"/>
    </row>
    <row r="56" spans="1:7" ht="34" thickTop="1" thickBot="1" x14ac:dyDescent="0.25">
      <c r="A56" s="56"/>
      <c r="B56" s="22" t="s">
        <v>59</v>
      </c>
      <c r="C56" s="23" t="s">
        <v>60</v>
      </c>
      <c r="D56" s="19" t="s">
        <v>61</v>
      </c>
      <c r="E56" s="62"/>
      <c r="F56" s="63"/>
      <c r="G56" s="56"/>
    </row>
    <row r="57" spans="1:7" ht="17" thickTop="1" x14ac:dyDescent="0.2">
      <c r="A57" s="56"/>
      <c r="B57" s="28" t="s">
        <v>62</v>
      </c>
      <c r="C57" s="24">
        <f>COUNTIF(C3:C15, "y")+COUNTIF(C3:C15, "n")+COUNTIF(C6:C7, "1")+COUNTIF(C6:C7, "2")+COUNTIF(C6:C7, "3")</f>
        <v>11</v>
      </c>
      <c r="D57" s="20" t="str">
        <f>IF(C57&gt;=2,"yes","no")</f>
        <v>yes</v>
      </c>
      <c r="E57" s="62"/>
      <c r="F57" s="56"/>
      <c r="G57" s="56"/>
    </row>
    <row r="58" spans="1:7" ht="16" x14ac:dyDescent="0.2">
      <c r="A58" s="56"/>
      <c r="B58" s="29" t="s">
        <v>63</v>
      </c>
      <c r="C58" s="24">
        <f>COUNTIF(C16:C27,"y")+COUNTIF(C16:C27,"n")</f>
        <v>9</v>
      </c>
      <c r="D58" s="20" t="str">
        <f>IF(C58&gt;=2,"yes","no")</f>
        <v>yes</v>
      </c>
      <c r="E58" s="62"/>
      <c r="F58" s="56"/>
      <c r="G58" s="56"/>
    </row>
    <row r="59" spans="1:7" ht="16" x14ac:dyDescent="0.2">
      <c r="A59" s="56"/>
      <c r="B59" s="28" t="s">
        <v>64</v>
      </c>
      <c r="C59" s="24">
        <f>COUNTIF(C28:C51,"y")+COUNTIF(C28:C51, "n")+COUNT(C28:C51)</f>
        <v>15</v>
      </c>
      <c r="D59" s="20" t="str">
        <f>IF(C59&gt;=6,"yes","no")</f>
        <v>yes</v>
      </c>
      <c r="E59" s="62"/>
      <c r="F59" s="56"/>
      <c r="G59" s="56"/>
    </row>
    <row r="60" spans="1:7" ht="17" thickBot="1" x14ac:dyDescent="0.25">
      <c r="A60" s="56"/>
      <c r="B60" s="25" t="s">
        <v>65</v>
      </c>
      <c r="C60" s="26">
        <f>SUM(C57:C59)</f>
        <v>35</v>
      </c>
      <c r="D60" s="21" t="str">
        <f>IF(D57="no","no",IF(D58="no","no",IF(D59="no","no","yes")))</f>
        <v>yes</v>
      </c>
      <c r="E60" s="62"/>
      <c r="F60" s="56"/>
      <c r="G60" s="56"/>
    </row>
    <row r="61" spans="1:7" ht="16" thickTop="1" x14ac:dyDescent="0.2">
      <c r="A61" s="56"/>
      <c r="B61" s="56"/>
      <c r="C61" s="56"/>
      <c r="D61" s="56"/>
      <c r="E61" s="57"/>
      <c r="F61" s="56"/>
      <c r="G61" s="56"/>
    </row>
    <row r="62" spans="1:7" x14ac:dyDescent="0.2">
      <c r="A62" s="56"/>
      <c r="B62" s="56"/>
      <c r="C62" s="56"/>
      <c r="D62" s="56"/>
      <c r="E62" s="57"/>
      <c r="F62" s="56"/>
      <c r="G62" s="56"/>
    </row>
    <row r="63" spans="1:7" ht="16" thickBot="1" x14ac:dyDescent="0.25">
      <c r="A63" s="56"/>
      <c r="B63" s="108" t="s">
        <v>66</v>
      </c>
      <c r="C63" s="108"/>
      <c r="D63" s="108"/>
      <c r="E63" s="62"/>
      <c r="F63" s="56"/>
      <c r="G63" s="56"/>
    </row>
    <row r="64" spans="1:7" ht="16" thickBot="1" x14ac:dyDescent="0.25">
      <c r="A64" s="56"/>
      <c r="B64" s="109" t="s">
        <v>67</v>
      </c>
      <c r="C64" s="110"/>
      <c r="D64" s="111"/>
      <c r="E64" s="62"/>
      <c r="F64" s="56"/>
      <c r="G64" s="56"/>
    </row>
    <row r="65" spans="1:7" x14ac:dyDescent="0.2">
      <c r="A65" s="56">
        <v>9.01</v>
      </c>
      <c r="B65" s="71" t="s">
        <v>68</v>
      </c>
      <c r="C65" s="112" t="s">
        <v>156</v>
      </c>
      <c r="D65" s="113"/>
      <c r="E65" s="62"/>
      <c r="F65" s="56"/>
      <c r="G65" s="56"/>
    </row>
    <row r="66" spans="1:7" x14ac:dyDescent="0.2">
      <c r="A66" s="56">
        <v>9.02</v>
      </c>
      <c r="B66" s="71" t="s">
        <v>69</v>
      </c>
      <c r="C66" s="114" t="s">
        <v>156</v>
      </c>
      <c r="D66" s="115"/>
      <c r="E66" s="62"/>
      <c r="F66" s="56"/>
      <c r="G66" s="56"/>
    </row>
    <row r="67" spans="1:7" x14ac:dyDescent="0.2">
      <c r="A67" s="56">
        <v>9.0299999999999994</v>
      </c>
      <c r="B67" s="71" t="s">
        <v>70</v>
      </c>
      <c r="C67" s="106" t="s">
        <v>157</v>
      </c>
      <c r="D67" s="107"/>
      <c r="E67" s="62"/>
      <c r="F67" s="56"/>
      <c r="G67" s="56"/>
    </row>
    <row r="68" spans="1:7" x14ac:dyDescent="0.2">
      <c r="A68" s="56">
        <v>9.0399999999999991</v>
      </c>
      <c r="B68" s="71" t="s">
        <v>71</v>
      </c>
      <c r="C68" s="106" t="s">
        <v>156</v>
      </c>
      <c r="D68" s="107"/>
      <c r="E68" s="62"/>
      <c r="F68" s="56"/>
      <c r="G68" s="56"/>
    </row>
    <row r="69" spans="1:7" x14ac:dyDescent="0.2">
      <c r="A69" s="56">
        <v>9.0500000000000007</v>
      </c>
      <c r="B69" s="71" t="s">
        <v>72</v>
      </c>
      <c r="C69" s="106" t="s">
        <v>93</v>
      </c>
      <c r="D69" s="107"/>
      <c r="E69" s="62"/>
      <c r="F69" s="56"/>
      <c r="G69" s="56"/>
    </row>
    <row r="70" spans="1:7" x14ac:dyDescent="0.2">
      <c r="A70" s="56">
        <v>9.06</v>
      </c>
      <c r="B70" s="71" t="s">
        <v>73</v>
      </c>
      <c r="C70" s="106" t="s">
        <v>156</v>
      </c>
      <c r="D70" s="107"/>
      <c r="E70" s="62"/>
      <c r="F70" s="56"/>
      <c r="G70" s="56"/>
    </row>
    <row r="71" spans="1:7" x14ac:dyDescent="0.2">
      <c r="A71" s="56">
        <v>9.07</v>
      </c>
      <c r="B71" s="71" t="s">
        <v>74</v>
      </c>
      <c r="C71" s="94" t="s">
        <v>157</v>
      </c>
      <c r="D71" s="97" t="str">
        <f>IF(C71="yes", IF(OR(C65="?", C66="?", C67="no", C67="?"), "eval.", IF(AND(C65="yes", C66="yes", C67="yes"), "reject", IF(OR(C65="no", C66="no"), "accept", " ")))," ")</f>
        <v>accept</v>
      </c>
      <c r="E71" s="62"/>
      <c r="F71" s="56"/>
      <c r="G71" s="56"/>
    </row>
    <row r="72" spans="1:7" x14ac:dyDescent="0.2">
      <c r="A72" s="56">
        <v>9.08</v>
      </c>
      <c r="B72" s="71" t="s">
        <v>75</v>
      </c>
      <c r="C72" s="92"/>
      <c r="D72" s="89" t="str">
        <f>IF(C71="yes","STOP",IF(C72="yes",IF(C68="no","accept",IF(AND(C68="yes",OR(C69="yes",C70="yes")),"reject",IF(OR(C68="?",C69="?",C70="?",C69="no",C70="no"),"eval.",""))), ""))</f>
        <v>STOP</v>
      </c>
      <c r="E72" s="62"/>
      <c r="F72" s="56"/>
      <c r="G72" s="56"/>
    </row>
    <row r="73" spans="1:7" ht="16" thickBot="1" x14ac:dyDescent="0.25">
      <c r="A73" s="56">
        <v>9.09</v>
      </c>
      <c r="B73" s="91" t="s">
        <v>76</v>
      </c>
      <c r="C73" s="93"/>
      <c r="D73" s="90" t="str">
        <f>IF(OR(C71="yes",C72="yes"),"STOP",IF(C73="yes",IF(AND(LUT!I26="accept",LUT!I27="accept"),"accept",IF(AND(LUT!I26="eval.",LUT!I27="eval."),"eval.",IF(OR(LUT!I26="reject",LUT!I27="reject"),"reject",""))),""))</f>
        <v>STOP</v>
      </c>
      <c r="E73" s="62"/>
      <c r="F73" s="56"/>
      <c r="G73" s="56"/>
    </row>
    <row r="74" spans="1:7" ht="16" thickBot="1" x14ac:dyDescent="0.25">
      <c r="A74" s="56"/>
      <c r="B74" s="72" t="s">
        <v>77</v>
      </c>
      <c r="C74" s="104" t="str">
        <f>IF(OR(D71="accept", D72="accept", D73="accept"), "Accept", IF(OR(D71="eval.", D72="eval.", D73="eval."), "Evaluate Further", IF(OR(D71="reject", D72="reject",D73="reject"), "Reject", "")))</f>
        <v>Accept</v>
      </c>
      <c r="D74" s="105"/>
      <c r="E74" s="62"/>
      <c r="F74" s="56"/>
      <c r="G74" s="56"/>
    </row>
    <row r="75" spans="1:7" x14ac:dyDescent="0.2">
      <c r="A75" s="56"/>
      <c r="B75" s="64"/>
      <c r="C75" s="64"/>
      <c r="D75" s="56"/>
      <c r="E75" s="57"/>
      <c r="F75" s="56"/>
      <c r="G75" s="56"/>
    </row>
    <row r="76" spans="1:7" x14ac:dyDescent="0.2">
      <c r="A76" s="56"/>
      <c r="B76" s="64"/>
      <c r="C76" s="64"/>
      <c r="D76" s="56"/>
      <c r="E76" s="57"/>
      <c r="F76" s="56"/>
      <c r="G76" s="56"/>
    </row>
    <row r="77" spans="1:7" x14ac:dyDescent="0.2">
      <c r="A77" s="56"/>
      <c r="B77" s="64"/>
      <c r="C77" s="64"/>
      <c r="D77" s="56"/>
      <c r="E77" s="57"/>
      <c r="F77" s="56"/>
      <c r="G77" s="56"/>
    </row>
    <row r="78" spans="1:7" x14ac:dyDescent="0.2">
      <c r="A78" s="56"/>
      <c r="B78" s="64"/>
      <c r="C78" s="64"/>
      <c r="D78" s="56"/>
      <c r="E78" s="57"/>
      <c r="F78" s="56"/>
      <c r="G78" s="56"/>
    </row>
    <row r="79" spans="1:7" x14ac:dyDescent="0.2">
      <c r="A79" s="56"/>
      <c r="B79" s="64"/>
      <c r="C79" s="64"/>
      <c r="D79" s="56"/>
      <c r="E79" s="57"/>
      <c r="F79" s="56"/>
      <c r="G79" s="56"/>
    </row>
    <row r="80" spans="1:7" x14ac:dyDescent="0.2">
      <c r="A80" s="56"/>
      <c r="B80" s="64"/>
      <c r="C80" s="64"/>
      <c r="D80" s="56"/>
      <c r="E80" s="57"/>
      <c r="F80" s="56"/>
      <c r="G80" s="56"/>
    </row>
    <row r="81" spans="1:7" x14ac:dyDescent="0.2">
      <c r="A81" s="56"/>
      <c r="B81" s="64"/>
      <c r="C81" s="64"/>
      <c r="D81" s="56"/>
      <c r="E81" s="57"/>
      <c r="F81" s="56"/>
      <c r="G81" s="56"/>
    </row>
    <row r="82" spans="1:7" x14ac:dyDescent="0.2">
      <c r="A82" s="56"/>
      <c r="B82" s="64"/>
      <c r="C82" s="64"/>
      <c r="D82" s="56"/>
      <c r="E82" s="57"/>
      <c r="F82" s="56"/>
      <c r="G82" s="56"/>
    </row>
    <row r="83" spans="1:7" x14ac:dyDescent="0.2">
      <c r="A83" s="56"/>
      <c r="B83" s="64"/>
      <c r="C83" s="64"/>
      <c r="D83" s="56"/>
      <c r="E83" s="57"/>
      <c r="F83" s="56"/>
      <c r="G83" s="56"/>
    </row>
    <row r="84" spans="1:7" x14ac:dyDescent="0.2">
      <c r="A84" s="56"/>
      <c r="B84" s="64"/>
      <c r="C84" s="64"/>
      <c r="D84" s="56"/>
      <c r="E84" s="57"/>
      <c r="F84" s="56"/>
      <c r="G84" s="56"/>
    </row>
    <row r="85" spans="1:7" x14ac:dyDescent="0.2">
      <c r="A85" s="56"/>
      <c r="B85" s="64"/>
      <c r="C85" s="64"/>
      <c r="D85" s="56"/>
      <c r="E85" s="57"/>
      <c r="F85" s="56"/>
      <c r="G85" s="56"/>
    </row>
    <row r="86" spans="1:7" x14ac:dyDescent="0.2">
      <c r="A86" s="56"/>
      <c r="B86" s="56"/>
      <c r="C86" s="56"/>
      <c r="D86" s="56"/>
      <c r="E86" s="57"/>
      <c r="F86" s="56"/>
      <c r="G86" s="56"/>
    </row>
    <row r="107" spans="6:6" x14ac:dyDescent="0.2">
      <c r="F107" s="56"/>
    </row>
  </sheetData>
  <sheetProtection algorithmName="SHA-512" hashValue="MZrUtja7PJJDBC1B4jwD1l/Vd11nSCw1Immg4b2LVW4Cbn46bR2XSzczeuRm6UGdiQ3ljPyFp1/LgSDPZLisiQ==" saltValue="lXs5ZdypR3R8tD5PrOkg/A==" spinCount="100000" sheet="1" formatCells="0" formatColumns="0" formatRows="0" insertHyperlinks="0"/>
  <mergeCells count="9">
    <mergeCell ref="C74:D74"/>
    <mergeCell ref="C69:D69"/>
    <mergeCell ref="B63:D63"/>
    <mergeCell ref="C68:D68"/>
    <mergeCell ref="C70:D70"/>
    <mergeCell ref="B64:D64"/>
    <mergeCell ref="C65:D65"/>
    <mergeCell ref="C66:D66"/>
    <mergeCell ref="C67:D67"/>
  </mergeCells>
  <dataValidations count="5">
    <dataValidation type="list" allowBlank="1" showInputMessage="1" showErrorMessage="1" sqref="C6:C7" xr:uid="{978B89CE-69C6-4161-A034-AC015DA0075F}">
      <formula1>"1,2,3,?"</formula1>
    </dataValidation>
    <dataValidation type="list" allowBlank="1" showInputMessage="1" showErrorMessage="1" sqref="C3 C4:C5 C8:C37 C39:C51" xr:uid="{A77910E4-8094-445A-B01F-5DFC8D9709A0}">
      <formula1>"y,n,?"</formula1>
    </dataValidation>
    <dataValidation type="list" allowBlank="1" showInputMessage="1" showErrorMessage="1" sqref="C38" xr:uid="{7B5D2DC9-EDC8-46A0-9AF9-27EF244727AD}">
      <formula1>"1 or fewer, 2 or 3, 4 or more,?"</formula1>
    </dataValidation>
    <dataValidation type="list" errorStyle="information" allowBlank="1" showInputMessage="1" showErrorMessage="1" errorTitle="Invalid Entry" error="Make a selection from the drop-down menu, or enter &quot;yes&quot; or &quot;no&quot;. Other entries will not work." sqref="C72 C73 C71:C72" xr:uid="{6E363CE9-056D-45A6-863F-0434A36F596E}">
      <formula1>"yes, no"</formula1>
    </dataValidation>
    <dataValidation type="list" allowBlank="1" showInputMessage="1" showErrorMessage="1" sqref="C70 C68 C69:C72 C67 C66 C65:D65" xr:uid="{7728EFC8-AC11-4E25-B467-7DD30AB392B5}">
      <formula1>"yes, no, ?"</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A408A-7496-40D5-8E67-BFE1B4BFE658}">
  <dimension ref="B1:R54"/>
  <sheetViews>
    <sheetView zoomScaleNormal="100" workbookViewId="0">
      <selection activeCell="O24" sqref="O24"/>
    </sheetView>
  </sheetViews>
  <sheetFormatPr baseColWidth="10" defaultColWidth="8.83203125" defaultRowHeight="15" x14ac:dyDescent="0.2"/>
  <cols>
    <col min="1" max="1" width="6.83203125" customWidth="1"/>
    <col min="8" max="8" width="18.33203125" customWidth="1"/>
  </cols>
  <sheetData>
    <row r="1" spans="2:18" ht="16" thickBot="1" x14ac:dyDescent="0.25"/>
    <row r="2" spans="2:18" ht="16" thickBot="1" x14ac:dyDescent="0.25">
      <c r="B2" t="s">
        <v>78</v>
      </c>
      <c r="H2" s="116" t="s">
        <v>79</v>
      </c>
      <c r="I2" s="117"/>
      <c r="J2" s="117"/>
      <c r="K2" s="117"/>
      <c r="L2" s="117"/>
      <c r="M2" s="117"/>
      <c r="N2" s="117"/>
      <c r="O2" s="117"/>
      <c r="P2" s="117"/>
      <c r="Q2" s="117"/>
      <c r="R2" s="118"/>
    </row>
    <row r="3" spans="2:18" x14ac:dyDescent="0.2">
      <c r="B3" s="1" t="s">
        <v>59</v>
      </c>
      <c r="C3" s="2" t="s">
        <v>2</v>
      </c>
      <c r="D3" s="2" t="s">
        <v>80</v>
      </c>
      <c r="E3" s="3" t="s">
        <v>81</v>
      </c>
      <c r="H3" s="138" t="s">
        <v>82</v>
      </c>
      <c r="I3" s="139"/>
      <c r="J3" s="139"/>
      <c r="K3" s="139"/>
      <c r="L3" s="139"/>
      <c r="M3" s="139"/>
      <c r="N3" s="139"/>
      <c r="O3" s="139"/>
      <c r="P3" s="139"/>
      <c r="Q3" s="139"/>
      <c r="R3" s="140"/>
    </row>
    <row r="4" spans="2:18" x14ac:dyDescent="0.2">
      <c r="B4" s="4" t="s">
        <v>83</v>
      </c>
      <c r="C4">
        <v>1.01</v>
      </c>
      <c r="D4">
        <v>0</v>
      </c>
      <c r="E4" s="5">
        <v>-3</v>
      </c>
      <c r="H4" s="141" t="s">
        <v>84</v>
      </c>
      <c r="I4" s="142"/>
      <c r="J4" s="142"/>
      <c r="K4" s="142"/>
      <c r="L4" s="142"/>
      <c r="M4" s="142"/>
      <c r="N4" s="142"/>
      <c r="O4" s="142"/>
      <c r="P4" s="142"/>
      <c r="Q4" s="142"/>
      <c r="R4" s="16" t="s">
        <v>85</v>
      </c>
    </row>
    <row r="5" spans="2:18" x14ac:dyDescent="0.2">
      <c r="B5" s="4" t="s">
        <v>64</v>
      </c>
      <c r="C5">
        <v>1.02</v>
      </c>
      <c r="D5">
        <v>-1</v>
      </c>
      <c r="E5" s="5">
        <v>1</v>
      </c>
      <c r="H5" s="141" t="s">
        <v>86</v>
      </c>
      <c r="I5" s="10">
        <v>2.0099999999999998</v>
      </c>
      <c r="J5" s="10">
        <v>1</v>
      </c>
      <c r="K5" s="10">
        <v>1</v>
      </c>
      <c r="L5" s="10">
        <v>1</v>
      </c>
      <c r="M5" s="10">
        <v>2</v>
      </c>
      <c r="N5" s="10">
        <v>2</v>
      </c>
      <c r="O5" s="10">
        <v>2</v>
      </c>
      <c r="P5" s="10">
        <v>3</v>
      </c>
      <c r="Q5" s="10">
        <v>3</v>
      </c>
      <c r="R5" s="11">
        <v>3</v>
      </c>
    </row>
    <row r="6" spans="2:18" x14ac:dyDescent="0.2">
      <c r="B6" s="4" t="s">
        <v>64</v>
      </c>
      <c r="C6">
        <v>1.03</v>
      </c>
      <c r="D6">
        <v>-1</v>
      </c>
      <c r="E6" s="5">
        <v>1</v>
      </c>
      <c r="H6" s="141"/>
      <c r="I6" s="10">
        <v>2.02</v>
      </c>
      <c r="J6" s="10">
        <v>1</v>
      </c>
      <c r="K6" s="10">
        <v>2</v>
      </c>
      <c r="L6" s="10">
        <v>3</v>
      </c>
      <c r="M6" s="10">
        <v>1</v>
      </c>
      <c r="N6" s="10">
        <v>2</v>
      </c>
      <c r="O6" s="10">
        <v>3</v>
      </c>
      <c r="P6" s="10">
        <v>1</v>
      </c>
      <c r="Q6" s="10">
        <v>2</v>
      </c>
      <c r="R6" s="11">
        <v>3</v>
      </c>
    </row>
    <row r="7" spans="2:18" x14ac:dyDescent="0.2">
      <c r="B7" s="4"/>
      <c r="C7">
        <v>2.0099999999999998</v>
      </c>
      <c r="D7" s="126" t="s">
        <v>87</v>
      </c>
      <c r="E7" s="127"/>
      <c r="H7" s="121" t="s">
        <v>88</v>
      </c>
      <c r="I7" s="10">
        <v>3.01</v>
      </c>
      <c r="J7" s="10">
        <v>2</v>
      </c>
      <c r="K7" s="10">
        <v>1</v>
      </c>
      <c r="L7" s="10">
        <v>1</v>
      </c>
      <c r="M7" s="10">
        <v>2</v>
      </c>
      <c r="N7" s="10">
        <v>2</v>
      </c>
      <c r="O7" s="10">
        <v>1</v>
      </c>
      <c r="P7" s="10">
        <v>2</v>
      </c>
      <c r="Q7" s="10">
        <v>2</v>
      </c>
      <c r="R7" s="11">
        <v>2</v>
      </c>
    </row>
    <row r="8" spans="2:18" x14ac:dyDescent="0.2">
      <c r="B8" s="4"/>
      <c r="C8">
        <v>2.02</v>
      </c>
      <c r="D8" s="128"/>
      <c r="E8" s="129"/>
      <c r="H8" s="121"/>
      <c r="I8" s="10">
        <v>3.02</v>
      </c>
      <c r="J8" s="10">
        <v>2</v>
      </c>
      <c r="K8" s="10">
        <v>1</v>
      </c>
      <c r="L8" s="10">
        <v>1</v>
      </c>
      <c r="M8" s="10">
        <v>2</v>
      </c>
      <c r="N8" s="10">
        <v>2</v>
      </c>
      <c r="O8" s="10">
        <v>1</v>
      </c>
      <c r="P8" s="10">
        <v>2</v>
      </c>
      <c r="Q8" s="10">
        <v>2</v>
      </c>
      <c r="R8" s="11">
        <v>2</v>
      </c>
    </row>
    <row r="9" spans="2:18" x14ac:dyDescent="0.2">
      <c r="B9" s="4" t="s">
        <v>64</v>
      </c>
      <c r="C9">
        <v>2.0299999999999998</v>
      </c>
      <c r="D9">
        <v>0</v>
      </c>
      <c r="E9" s="5">
        <v>1</v>
      </c>
      <c r="H9" s="121"/>
      <c r="I9" s="10">
        <v>3.03</v>
      </c>
      <c r="J9" s="10">
        <v>4</v>
      </c>
      <c r="K9" s="10">
        <v>2</v>
      </c>
      <c r="L9" s="10">
        <v>1</v>
      </c>
      <c r="M9" s="10">
        <v>4</v>
      </c>
      <c r="N9" s="10">
        <v>3</v>
      </c>
      <c r="O9" s="10">
        <v>2</v>
      </c>
      <c r="P9" s="10">
        <v>4</v>
      </c>
      <c r="Q9" s="10">
        <v>4</v>
      </c>
      <c r="R9" s="11">
        <v>4</v>
      </c>
    </row>
    <row r="10" spans="2:18" x14ac:dyDescent="0.2">
      <c r="B10" s="4" t="s">
        <v>64</v>
      </c>
      <c r="C10">
        <v>2.04</v>
      </c>
      <c r="D10">
        <v>0</v>
      </c>
      <c r="E10" s="5">
        <v>1</v>
      </c>
      <c r="H10" s="121"/>
      <c r="I10" s="10">
        <v>3.04</v>
      </c>
      <c r="J10" s="10">
        <v>4</v>
      </c>
      <c r="K10" s="10">
        <v>2</v>
      </c>
      <c r="L10" s="10">
        <v>1</v>
      </c>
      <c r="M10" s="10">
        <v>4</v>
      </c>
      <c r="N10" s="10">
        <v>3</v>
      </c>
      <c r="O10" s="10">
        <v>2</v>
      </c>
      <c r="P10" s="10">
        <v>4</v>
      </c>
      <c r="Q10" s="10">
        <v>4</v>
      </c>
      <c r="R10" s="11">
        <v>4</v>
      </c>
    </row>
    <row r="11" spans="2:18" x14ac:dyDescent="0.2">
      <c r="B11" s="4"/>
      <c r="C11">
        <v>2.0499999999999998</v>
      </c>
      <c r="E11" s="5"/>
      <c r="H11" s="121"/>
      <c r="I11" s="10">
        <v>3.05</v>
      </c>
      <c r="J11" s="10">
        <v>2</v>
      </c>
      <c r="K11" s="10">
        <v>1</v>
      </c>
      <c r="L11" s="10">
        <v>1</v>
      </c>
      <c r="M11" s="10">
        <v>2</v>
      </c>
      <c r="N11" s="10">
        <v>2</v>
      </c>
      <c r="O11" s="10">
        <v>1</v>
      </c>
      <c r="P11" s="10">
        <v>2</v>
      </c>
      <c r="Q11" s="10">
        <v>2</v>
      </c>
      <c r="R11" s="11">
        <v>2</v>
      </c>
    </row>
    <row r="12" spans="2:18" x14ac:dyDescent="0.2">
      <c r="B12" s="4" t="s">
        <v>64</v>
      </c>
      <c r="C12">
        <v>3.01</v>
      </c>
      <c r="D12" s="130" t="s">
        <v>89</v>
      </c>
      <c r="E12" s="131"/>
      <c r="H12" s="119" t="s">
        <v>90</v>
      </c>
      <c r="I12" s="120"/>
      <c r="J12" s="120"/>
      <c r="K12" s="120"/>
      <c r="L12" s="120"/>
      <c r="M12" s="120"/>
      <c r="N12" s="120"/>
      <c r="O12" s="120"/>
      <c r="P12" s="120"/>
      <c r="Q12" s="120"/>
      <c r="R12" s="123"/>
    </row>
    <row r="13" spans="2:18" x14ac:dyDescent="0.2">
      <c r="B13" s="4" t="s">
        <v>91</v>
      </c>
      <c r="C13">
        <v>3.02</v>
      </c>
      <c r="D13" s="132"/>
      <c r="E13" s="133"/>
      <c r="H13" s="4" t="s">
        <v>92</v>
      </c>
      <c r="I13" s="10">
        <v>2.0499999999999998</v>
      </c>
      <c r="J13" s="10" t="s">
        <v>93</v>
      </c>
      <c r="K13" s="10" t="s">
        <v>94</v>
      </c>
      <c r="L13" s="10" t="s">
        <v>95</v>
      </c>
      <c r="M13" s="120"/>
      <c r="N13" s="120"/>
      <c r="O13" s="120"/>
      <c r="P13" s="120"/>
      <c r="Q13" s="120"/>
      <c r="R13" s="123"/>
    </row>
    <row r="14" spans="2:18" x14ac:dyDescent="0.2">
      <c r="B14" s="4" t="s">
        <v>62</v>
      </c>
      <c r="C14">
        <v>3.03</v>
      </c>
      <c r="D14" s="132"/>
      <c r="E14" s="133"/>
      <c r="H14" s="121" t="s">
        <v>88</v>
      </c>
      <c r="I14" s="10">
        <v>3.01</v>
      </c>
      <c r="J14" s="10">
        <v>-1</v>
      </c>
      <c r="K14" s="10">
        <v>0</v>
      </c>
      <c r="L14" s="10">
        <v>-2</v>
      </c>
      <c r="M14" s="120"/>
      <c r="N14" s="120"/>
      <c r="O14" s="120"/>
      <c r="P14" s="120"/>
      <c r="Q14" s="120"/>
      <c r="R14" s="123"/>
    </row>
    <row r="15" spans="2:18" ht="16" thickBot="1" x14ac:dyDescent="0.25">
      <c r="B15" s="4" t="s">
        <v>91</v>
      </c>
      <c r="C15">
        <v>3.04</v>
      </c>
      <c r="D15" s="132"/>
      <c r="E15" s="133"/>
      <c r="H15" s="122"/>
      <c r="I15" s="13" t="s">
        <v>96</v>
      </c>
      <c r="J15" s="13">
        <v>0</v>
      </c>
      <c r="K15" s="13">
        <v>0</v>
      </c>
      <c r="L15" s="13">
        <v>0</v>
      </c>
      <c r="M15" s="124"/>
      <c r="N15" s="124"/>
      <c r="O15" s="124"/>
      <c r="P15" s="124"/>
      <c r="Q15" s="124"/>
      <c r="R15" s="125"/>
    </row>
    <row r="16" spans="2:18" x14ac:dyDescent="0.2">
      <c r="B16" s="4" t="s">
        <v>64</v>
      </c>
      <c r="C16">
        <v>3.05</v>
      </c>
      <c r="D16" s="134"/>
      <c r="E16" s="135"/>
    </row>
    <row r="17" spans="2:11" x14ac:dyDescent="0.2">
      <c r="B17" s="4" t="s">
        <v>97</v>
      </c>
      <c r="C17">
        <v>4.01</v>
      </c>
      <c r="D17">
        <v>0</v>
      </c>
      <c r="E17" s="5">
        <v>1</v>
      </c>
    </row>
    <row r="18" spans="2:11" ht="16" thickBot="1" x14ac:dyDescent="0.25">
      <c r="B18" s="4" t="s">
        <v>64</v>
      </c>
      <c r="C18">
        <v>4.0199999999999996</v>
      </c>
      <c r="D18">
        <v>0</v>
      </c>
      <c r="E18" s="5">
        <v>1</v>
      </c>
    </row>
    <row r="19" spans="2:11" x14ac:dyDescent="0.2">
      <c r="B19" s="4" t="s">
        <v>64</v>
      </c>
      <c r="C19">
        <v>4.03</v>
      </c>
      <c r="D19">
        <v>0</v>
      </c>
      <c r="E19" s="5">
        <v>1</v>
      </c>
      <c r="H19" s="116" t="s">
        <v>98</v>
      </c>
      <c r="I19" s="117"/>
      <c r="J19" s="117"/>
      <c r="K19" s="118"/>
    </row>
    <row r="20" spans="2:11" x14ac:dyDescent="0.2">
      <c r="B20" s="4" t="s">
        <v>62</v>
      </c>
      <c r="C20">
        <v>4.04</v>
      </c>
      <c r="D20">
        <v>-1</v>
      </c>
      <c r="E20" s="5">
        <v>1</v>
      </c>
      <c r="H20" s="4" t="s">
        <v>99</v>
      </c>
      <c r="I20" s="12">
        <v>1</v>
      </c>
      <c r="J20" s="12">
        <v>2</v>
      </c>
      <c r="K20" s="9">
        <v>4</v>
      </c>
    </row>
    <row r="21" spans="2:11" ht="16" thickBot="1" x14ac:dyDescent="0.25">
      <c r="B21" s="4" t="s">
        <v>64</v>
      </c>
      <c r="C21">
        <v>4.05</v>
      </c>
      <c r="D21">
        <v>0</v>
      </c>
      <c r="E21" s="5">
        <v>1</v>
      </c>
      <c r="H21" s="6" t="s">
        <v>4</v>
      </c>
      <c r="I21" s="14">
        <v>1</v>
      </c>
      <c r="J21" s="14">
        <v>0</v>
      </c>
      <c r="K21" s="15">
        <v>-1</v>
      </c>
    </row>
    <row r="22" spans="2:11" x14ac:dyDescent="0.2">
      <c r="B22" s="4" t="s">
        <v>64</v>
      </c>
      <c r="C22">
        <v>4.0599999999999996</v>
      </c>
      <c r="D22">
        <v>0</v>
      </c>
      <c r="E22" s="5">
        <v>1</v>
      </c>
    </row>
    <row r="23" spans="2:11" x14ac:dyDescent="0.2">
      <c r="B23" s="4" t="s">
        <v>64</v>
      </c>
      <c r="C23">
        <v>4.07</v>
      </c>
      <c r="D23">
        <v>0</v>
      </c>
      <c r="E23" s="5">
        <v>1</v>
      </c>
    </row>
    <row r="24" spans="2:11" ht="16" thickBot="1" x14ac:dyDescent="0.25">
      <c r="B24" s="4" t="s">
        <v>91</v>
      </c>
      <c r="C24">
        <v>4.08</v>
      </c>
      <c r="D24">
        <v>0</v>
      </c>
      <c r="E24" s="5">
        <v>1</v>
      </c>
    </row>
    <row r="25" spans="2:11" x14ac:dyDescent="0.2">
      <c r="B25" s="4" t="s">
        <v>91</v>
      </c>
      <c r="C25">
        <v>4.09</v>
      </c>
      <c r="D25">
        <v>0</v>
      </c>
      <c r="E25" s="5">
        <v>1</v>
      </c>
      <c r="H25" s="143" t="s">
        <v>100</v>
      </c>
      <c r="I25" s="144"/>
      <c r="J25" s="144"/>
      <c r="K25" s="145"/>
    </row>
    <row r="26" spans="2:11" x14ac:dyDescent="0.2">
      <c r="B26" s="4" t="s">
        <v>91</v>
      </c>
      <c r="C26">
        <v>4.0999999999999996</v>
      </c>
      <c r="D26">
        <v>0</v>
      </c>
      <c r="E26" s="5">
        <v>1</v>
      </c>
      <c r="H26" s="95" t="s">
        <v>101</v>
      </c>
      <c r="I26" s="146" t="str">
        <f>IF(OR('WRA Worksheet'!C65="?",'WRA Worksheet'!C66="?",'WRA Worksheet'!C67="?",'WRA Worksheet'!C67="no"),"eval.",IF(AND('WRA Worksheet'!C65="yes",'WRA Worksheet'!C66="yes",'WRA Worksheet'!C67="yes"),"reject",IF(OR('WRA Worksheet'!C65="no",'WRA Worksheet'!C66="no"),"accept","")))</f>
        <v>accept</v>
      </c>
      <c r="J26" s="146"/>
      <c r="K26" s="147"/>
    </row>
    <row r="27" spans="2:11" ht="16" thickBot="1" x14ac:dyDescent="0.25">
      <c r="B27" s="4" t="s">
        <v>91</v>
      </c>
      <c r="C27">
        <v>4.1100000000000003</v>
      </c>
      <c r="D27">
        <v>0</v>
      </c>
      <c r="E27" s="5">
        <v>1</v>
      </c>
      <c r="H27" s="96" t="s">
        <v>102</v>
      </c>
      <c r="I27" s="148" t="str">
        <f>IF('WRA Worksheet'!C68="no","accept",IF(AND('WRA Worksheet'!C68="yes",OR('WRA Worksheet'!C69="yes",'WRA Worksheet'!C70="yes")),"reject",IF(OR('WRA Worksheet'!C68="?",'WRA Worksheet'!C69="?",'WRA Worksheet'!C70="?",'WRA Worksheet'!C69="no",'WRA Worksheet'!C70="no"),"eval.","")))</f>
        <v>accept</v>
      </c>
      <c r="J27" s="148"/>
      <c r="K27" s="149"/>
    </row>
    <row r="28" spans="2:11" x14ac:dyDescent="0.2">
      <c r="B28" s="4" t="s">
        <v>64</v>
      </c>
      <c r="C28">
        <v>4.12</v>
      </c>
      <c r="D28">
        <v>0</v>
      </c>
      <c r="E28" s="5">
        <v>1</v>
      </c>
    </row>
    <row r="29" spans="2:11" x14ac:dyDescent="0.2">
      <c r="B29" s="4" t="s">
        <v>103</v>
      </c>
      <c r="C29">
        <v>5.01</v>
      </c>
      <c r="D29">
        <v>0</v>
      </c>
      <c r="E29" s="5">
        <v>5</v>
      </c>
    </row>
    <row r="30" spans="2:11" x14ac:dyDescent="0.2">
      <c r="B30" s="4" t="s">
        <v>64</v>
      </c>
      <c r="C30">
        <v>5.0199999999999996</v>
      </c>
      <c r="D30">
        <v>0</v>
      </c>
      <c r="E30" s="5">
        <v>1</v>
      </c>
    </row>
    <row r="31" spans="2:11" x14ac:dyDescent="0.2">
      <c r="B31" s="4" t="s">
        <v>91</v>
      </c>
      <c r="C31">
        <v>5.03</v>
      </c>
      <c r="D31">
        <v>0</v>
      </c>
      <c r="E31" s="5">
        <v>1</v>
      </c>
    </row>
    <row r="32" spans="2:11" x14ac:dyDescent="0.2">
      <c r="B32" s="4" t="s">
        <v>64</v>
      </c>
      <c r="C32">
        <v>5.04</v>
      </c>
      <c r="D32">
        <v>0</v>
      </c>
      <c r="E32" s="5">
        <v>1</v>
      </c>
    </row>
    <row r="33" spans="2:5" x14ac:dyDescent="0.2">
      <c r="B33" s="4" t="s">
        <v>64</v>
      </c>
      <c r="C33">
        <v>6.01</v>
      </c>
      <c r="D33">
        <v>0</v>
      </c>
      <c r="E33" s="5">
        <v>1</v>
      </c>
    </row>
    <row r="34" spans="2:5" x14ac:dyDescent="0.2">
      <c r="B34" s="4" t="s">
        <v>64</v>
      </c>
      <c r="C34">
        <v>6.02</v>
      </c>
      <c r="D34">
        <v>-1</v>
      </c>
      <c r="E34" s="5">
        <v>1</v>
      </c>
    </row>
    <row r="35" spans="2:5" x14ac:dyDescent="0.2">
      <c r="B35" s="4" t="s">
        <v>62</v>
      </c>
      <c r="C35">
        <v>6.03</v>
      </c>
      <c r="D35">
        <v>-1</v>
      </c>
      <c r="E35" s="5">
        <v>1</v>
      </c>
    </row>
    <row r="36" spans="2:5" x14ac:dyDescent="0.2">
      <c r="B36" s="4" t="s">
        <v>64</v>
      </c>
      <c r="C36">
        <v>6.04</v>
      </c>
      <c r="D36">
        <v>-1</v>
      </c>
      <c r="E36" s="5">
        <v>1</v>
      </c>
    </row>
    <row r="37" spans="2:5" x14ac:dyDescent="0.2">
      <c r="B37" s="4" t="s">
        <v>64</v>
      </c>
      <c r="C37">
        <v>6.05</v>
      </c>
      <c r="D37">
        <v>0</v>
      </c>
      <c r="E37" s="5">
        <v>-1</v>
      </c>
    </row>
    <row r="38" spans="2:5" x14ac:dyDescent="0.2">
      <c r="B38" s="4" t="s">
        <v>62</v>
      </c>
      <c r="C38">
        <v>6.06</v>
      </c>
      <c r="D38">
        <v>-1</v>
      </c>
      <c r="E38" s="5">
        <v>1</v>
      </c>
    </row>
    <row r="39" spans="2:5" x14ac:dyDescent="0.2">
      <c r="B39" s="4" t="s">
        <v>64</v>
      </c>
      <c r="C39">
        <v>6.07</v>
      </c>
      <c r="D39" s="136" t="s">
        <v>104</v>
      </c>
      <c r="E39" s="137"/>
    </row>
    <row r="40" spans="2:5" x14ac:dyDescent="0.2">
      <c r="B40" s="4" t="s">
        <v>62</v>
      </c>
      <c r="C40">
        <v>7.01</v>
      </c>
      <c r="D40">
        <v>-1</v>
      </c>
      <c r="E40" s="5">
        <v>1</v>
      </c>
    </row>
    <row r="41" spans="2:5" x14ac:dyDescent="0.2">
      <c r="B41" s="4" t="s">
        <v>64</v>
      </c>
      <c r="C41">
        <v>7.02</v>
      </c>
      <c r="D41">
        <v>-1</v>
      </c>
      <c r="E41" s="5">
        <v>1</v>
      </c>
    </row>
    <row r="42" spans="2:5" x14ac:dyDescent="0.2">
      <c r="B42" s="4" t="s">
        <v>62</v>
      </c>
      <c r="C42">
        <v>7.03</v>
      </c>
      <c r="D42">
        <v>-1</v>
      </c>
      <c r="E42" s="5">
        <v>1</v>
      </c>
    </row>
    <row r="43" spans="2:5" x14ac:dyDescent="0.2">
      <c r="B43" s="4" t="s">
        <v>64</v>
      </c>
      <c r="C43">
        <v>7.04</v>
      </c>
      <c r="D43">
        <v>-1</v>
      </c>
      <c r="E43" s="5">
        <v>1</v>
      </c>
    </row>
    <row r="44" spans="2:5" x14ac:dyDescent="0.2">
      <c r="B44" s="4" t="s">
        <v>91</v>
      </c>
      <c r="C44">
        <v>7.05</v>
      </c>
      <c r="D44">
        <v>-1</v>
      </c>
      <c r="E44" s="5">
        <v>1</v>
      </c>
    </row>
    <row r="45" spans="2:5" x14ac:dyDescent="0.2">
      <c r="B45" s="4" t="s">
        <v>91</v>
      </c>
      <c r="C45">
        <v>7.06</v>
      </c>
      <c r="D45">
        <v>-1</v>
      </c>
      <c r="E45" s="5">
        <v>1</v>
      </c>
    </row>
    <row r="46" spans="2:5" x14ac:dyDescent="0.2">
      <c r="B46" s="4" t="s">
        <v>64</v>
      </c>
      <c r="C46">
        <v>7.07</v>
      </c>
      <c r="D46">
        <v>-1</v>
      </c>
      <c r="E46" s="5">
        <v>1</v>
      </c>
    </row>
    <row r="47" spans="2:5" x14ac:dyDescent="0.2">
      <c r="B47" s="4" t="s">
        <v>64</v>
      </c>
      <c r="C47">
        <v>7.08</v>
      </c>
      <c r="D47">
        <v>-1</v>
      </c>
      <c r="E47" s="5">
        <v>1</v>
      </c>
    </row>
    <row r="48" spans="2:5" x14ac:dyDescent="0.2">
      <c r="B48" s="4" t="s">
        <v>64</v>
      </c>
      <c r="C48">
        <v>8.01</v>
      </c>
      <c r="D48">
        <v>-1</v>
      </c>
      <c r="E48" s="5">
        <v>1</v>
      </c>
    </row>
    <row r="49" spans="2:5" x14ac:dyDescent="0.2">
      <c r="B49" s="4" t="s">
        <v>64</v>
      </c>
      <c r="C49">
        <v>8.02</v>
      </c>
      <c r="D49">
        <v>-1</v>
      </c>
      <c r="E49" s="5">
        <v>1</v>
      </c>
    </row>
    <row r="50" spans="2:5" x14ac:dyDescent="0.2">
      <c r="B50" s="4" t="s">
        <v>62</v>
      </c>
      <c r="C50">
        <v>8.0299999999999994</v>
      </c>
      <c r="D50">
        <v>1</v>
      </c>
      <c r="E50" s="5">
        <v>-1</v>
      </c>
    </row>
    <row r="51" spans="2:5" x14ac:dyDescent="0.2">
      <c r="B51" s="4" t="s">
        <v>62</v>
      </c>
      <c r="C51">
        <v>8.0399999999999991</v>
      </c>
      <c r="D51">
        <v>-1</v>
      </c>
      <c r="E51" s="5">
        <v>1</v>
      </c>
    </row>
    <row r="52" spans="2:5" x14ac:dyDescent="0.2">
      <c r="B52" s="4" t="s">
        <v>64</v>
      </c>
      <c r="C52">
        <v>8.0500000000000007</v>
      </c>
      <c r="D52">
        <v>1</v>
      </c>
      <c r="E52" s="5">
        <v>-1</v>
      </c>
    </row>
    <row r="53" spans="2:5" x14ac:dyDescent="0.2">
      <c r="B53" s="4"/>
      <c r="E53" s="5"/>
    </row>
    <row r="54" spans="2:5" ht="16" thickBot="1" x14ac:dyDescent="0.25">
      <c r="B54" s="6"/>
      <c r="C54" s="7"/>
      <c r="D54" s="7"/>
      <c r="E54" s="8"/>
    </row>
  </sheetData>
  <sheetProtection algorithmName="SHA-512" hashValue="0mtPXeV4RFX+M/sGdOGKeuK5NWlJbk/75EF/Z/DHrnEM9OlRwDreGoshUwzHDRLvA3A9Y2G+zbNh26ykXbCpNg==" saltValue="1/xWeOpxhY5vxCpyg9dG1A==" spinCount="100000" sheet="1" objects="1" scenarios="1"/>
  <mergeCells count="15">
    <mergeCell ref="D7:E8"/>
    <mergeCell ref="D12:E16"/>
    <mergeCell ref="D39:E39"/>
    <mergeCell ref="H3:R3"/>
    <mergeCell ref="H4:Q4"/>
    <mergeCell ref="H5:H6"/>
    <mergeCell ref="H7:H11"/>
    <mergeCell ref="H25:K25"/>
    <mergeCell ref="I26:K26"/>
    <mergeCell ref="I27:K27"/>
    <mergeCell ref="H2:R2"/>
    <mergeCell ref="H12:L12"/>
    <mergeCell ref="H14:H15"/>
    <mergeCell ref="M12:R15"/>
    <mergeCell ref="H19:K19"/>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9724D-15DB-4E0F-87F1-EE2DC5DF0787}">
  <dimension ref="A1:D61"/>
  <sheetViews>
    <sheetView workbookViewId="0">
      <selection activeCell="G1" sqref="G1"/>
    </sheetView>
  </sheetViews>
  <sheetFormatPr baseColWidth="10" defaultColWidth="8.83203125" defaultRowHeight="15" x14ac:dyDescent="0.2"/>
  <cols>
    <col min="1" max="1" width="7.1640625" customWidth="1"/>
    <col min="2" max="2" width="64.5" customWidth="1"/>
  </cols>
  <sheetData>
    <row r="1" spans="1:4" ht="109.5" customHeight="1" x14ac:dyDescent="0.2">
      <c r="A1" s="153" t="str">
        <f>'WRA Worksheet'!F1</f>
        <v>Assessment date: November 20, 2025  Prepared by Seokmin Kim</v>
      </c>
      <c r="B1" s="154"/>
      <c r="C1" s="154"/>
      <c r="D1" s="98" t="s">
        <v>105</v>
      </c>
    </row>
    <row r="2" spans="1:4" ht="19" x14ac:dyDescent="0.2">
      <c r="A2" s="150" t="s">
        <v>106</v>
      </c>
      <c r="B2" s="151"/>
      <c r="C2" s="73" t="s">
        <v>3</v>
      </c>
      <c r="D2" s="73" t="s">
        <v>4</v>
      </c>
    </row>
    <row r="3" spans="1:4" ht="16" x14ac:dyDescent="0.2">
      <c r="A3" s="74">
        <v>1.01</v>
      </c>
      <c r="B3" s="75" t="s">
        <v>8</v>
      </c>
      <c r="C3" s="76" t="str">
        <f>'WRA Worksheet'!C3</f>
        <v>n</v>
      </c>
      <c r="D3" s="82">
        <f>'WRA Worksheet'!D3</f>
        <v>0</v>
      </c>
    </row>
    <row r="4" spans="1:4" ht="16" x14ac:dyDescent="0.2">
      <c r="A4" s="74">
        <v>1.02</v>
      </c>
      <c r="B4" s="75" t="s">
        <v>9</v>
      </c>
      <c r="C4" s="76">
        <f>'WRA Worksheet'!C4</f>
        <v>0</v>
      </c>
      <c r="D4" s="82" t="str">
        <f>'WRA Worksheet'!D4</f>
        <v xml:space="preserve"> </v>
      </c>
    </row>
    <row r="5" spans="1:4" ht="16" x14ac:dyDescent="0.2">
      <c r="A5" s="74">
        <v>1.03</v>
      </c>
      <c r="B5" s="75" t="s">
        <v>10</v>
      </c>
      <c r="C5" s="76">
        <f>'WRA Worksheet'!C5</f>
        <v>0</v>
      </c>
      <c r="D5" s="82" t="str">
        <f>'WRA Worksheet'!D5</f>
        <v xml:space="preserve"> </v>
      </c>
    </row>
    <row r="6" spans="1:4" ht="52" x14ac:dyDescent="0.2">
      <c r="A6" s="74">
        <v>2.0099999999999998</v>
      </c>
      <c r="B6" s="77" t="s">
        <v>107</v>
      </c>
      <c r="C6" s="76">
        <f>'WRA Worksheet'!C6</f>
        <v>3</v>
      </c>
      <c r="D6" s="83"/>
    </row>
    <row r="7" spans="1:4" ht="16" x14ac:dyDescent="0.2">
      <c r="A7" s="74">
        <v>2.02</v>
      </c>
      <c r="B7" s="75" t="s">
        <v>108</v>
      </c>
      <c r="C7" s="76">
        <f>'WRA Worksheet'!C7</f>
        <v>1</v>
      </c>
      <c r="D7" s="83"/>
    </row>
    <row r="8" spans="1:4" ht="16" x14ac:dyDescent="0.2">
      <c r="A8" s="74">
        <v>2.0299999999999998</v>
      </c>
      <c r="B8" s="75" t="s">
        <v>13</v>
      </c>
      <c r="C8" s="76" t="str">
        <f>'WRA Worksheet'!C8</f>
        <v>n</v>
      </c>
      <c r="D8" s="82">
        <f>'WRA Worksheet'!D8</f>
        <v>0</v>
      </c>
    </row>
    <row r="9" spans="1:4" ht="52" x14ac:dyDescent="0.2">
      <c r="A9" s="74">
        <v>2.04</v>
      </c>
      <c r="B9" s="78" t="s">
        <v>14</v>
      </c>
      <c r="C9" s="76" t="str">
        <f>'WRA Worksheet'!C9</f>
        <v>y</v>
      </c>
      <c r="D9" s="82">
        <f>'WRA Worksheet'!D9</f>
        <v>1</v>
      </c>
    </row>
    <row r="10" spans="1:4" ht="32" x14ac:dyDescent="0.2">
      <c r="A10" s="74">
        <v>2.0499999999999998</v>
      </c>
      <c r="B10" s="75" t="s">
        <v>15</v>
      </c>
      <c r="C10" s="79" t="str">
        <f>'WRA Worksheet'!C10</f>
        <v>y</v>
      </c>
      <c r="D10" s="83"/>
    </row>
    <row r="11" spans="1:4" ht="16" x14ac:dyDescent="0.2">
      <c r="A11" s="74">
        <v>3.01</v>
      </c>
      <c r="B11" s="75" t="s">
        <v>16</v>
      </c>
      <c r="C11" s="76" t="str">
        <f>'WRA Worksheet'!C11</f>
        <v>n</v>
      </c>
      <c r="D11" s="82">
        <f>'WRA Worksheet'!D11</f>
        <v>-2</v>
      </c>
    </row>
    <row r="12" spans="1:4" ht="16" x14ac:dyDescent="0.2">
      <c r="A12" s="74">
        <v>3.02</v>
      </c>
      <c r="B12" s="75" t="s">
        <v>17</v>
      </c>
      <c r="C12" s="76" t="str">
        <f>'WRA Worksheet'!C12</f>
        <v>n</v>
      </c>
      <c r="D12" s="82">
        <f>'WRA Worksheet'!D12</f>
        <v>0</v>
      </c>
    </row>
    <row r="13" spans="1:4" ht="16" x14ac:dyDescent="0.2">
      <c r="A13" s="74">
        <v>3.03</v>
      </c>
      <c r="B13" s="75" t="s">
        <v>18</v>
      </c>
      <c r="C13" s="76" t="str">
        <f>'WRA Worksheet'!C13</f>
        <v>n</v>
      </c>
      <c r="D13" s="82">
        <f>'WRA Worksheet'!D13</f>
        <v>0</v>
      </c>
    </row>
    <row r="14" spans="1:4" ht="16" x14ac:dyDescent="0.2">
      <c r="A14" s="74">
        <v>3.04</v>
      </c>
      <c r="B14" s="75" t="s">
        <v>19</v>
      </c>
      <c r="C14" s="76" t="str">
        <f>'WRA Worksheet'!C14</f>
        <v>n</v>
      </c>
      <c r="D14" s="82">
        <f>'WRA Worksheet'!D14</f>
        <v>0</v>
      </c>
    </row>
    <row r="15" spans="1:4" ht="16" x14ac:dyDescent="0.2">
      <c r="A15" s="74">
        <v>3.05</v>
      </c>
      <c r="B15" s="75" t="s">
        <v>20</v>
      </c>
      <c r="C15" s="76" t="str">
        <f>'WRA Worksheet'!C15</f>
        <v>y</v>
      </c>
      <c r="D15" s="82">
        <f>'WRA Worksheet'!D15</f>
        <v>2</v>
      </c>
    </row>
    <row r="16" spans="1:4" ht="16" x14ac:dyDescent="0.2">
      <c r="A16" s="74">
        <v>4.01</v>
      </c>
      <c r="B16" s="75" t="s">
        <v>21</v>
      </c>
      <c r="C16" s="76" t="str">
        <f>'WRA Worksheet'!C16</f>
        <v>n</v>
      </c>
      <c r="D16" s="82">
        <f>'WRA Worksheet'!D16</f>
        <v>0</v>
      </c>
    </row>
    <row r="17" spans="1:4" ht="16" x14ac:dyDescent="0.2">
      <c r="A17" s="74">
        <v>4.0199999999999996</v>
      </c>
      <c r="B17" s="75" t="s">
        <v>22</v>
      </c>
      <c r="C17" s="76" t="str">
        <f>'WRA Worksheet'!C17</f>
        <v>?</v>
      </c>
      <c r="D17" s="82" t="str">
        <f>'WRA Worksheet'!D17</f>
        <v xml:space="preserve"> </v>
      </c>
    </row>
    <row r="18" spans="1:4" ht="16" x14ac:dyDescent="0.2">
      <c r="A18" s="74">
        <v>4.03</v>
      </c>
      <c r="B18" s="75" t="s">
        <v>23</v>
      </c>
      <c r="C18" s="76" t="str">
        <f>'WRA Worksheet'!C18</f>
        <v>n</v>
      </c>
      <c r="D18" s="82">
        <f>'WRA Worksheet'!D18</f>
        <v>0</v>
      </c>
    </row>
    <row r="19" spans="1:4" ht="16" x14ac:dyDescent="0.2">
      <c r="A19" s="74">
        <v>4.04</v>
      </c>
      <c r="B19" s="75" t="s">
        <v>24</v>
      </c>
      <c r="C19" s="76" t="str">
        <f>'WRA Worksheet'!C19</f>
        <v>?</v>
      </c>
      <c r="D19" s="82" t="str">
        <f>'WRA Worksheet'!D19</f>
        <v xml:space="preserve"> </v>
      </c>
    </row>
    <row r="20" spans="1:4" ht="16" x14ac:dyDescent="0.2">
      <c r="A20" s="74">
        <v>4.05</v>
      </c>
      <c r="B20" s="75" t="s">
        <v>25</v>
      </c>
      <c r="C20" s="76" t="str">
        <f>'WRA Worksheet'!C20</f>
        <v>?</v>
      </c>
      <c r="D20" s="82" t="str">
        <f>'WRA Worksheet'!D20</f>
        <v xml:space="preserve"> </v>
      </c>
    </row>
    <row r="21" spans="1:4" ht="16" x14ac:dyDescent="0.2">
      <c r="A21" s="74">
        <v>4.0599999999999996</v>
      </c>
      <c r="B21" s="75" t="s">
        <v>26</v>
      </c>
      <c r="C21" s="76" t="str">
        <f>'WRA Worksheet'!C21</f>
        <v>y</v>
      </c>
      <c r="D21" s="82">
        <f>'WRA Worksheet'!D21</f>
        <v>1</v>
      </c>
    </row>
    <row r="22" spans="1:4" ht="16" x14ac:dyDescent="0.2">
      <c r="A22" s="74">
        <v>4.07</v>
      </c>
      <c r="B22" s="75" t="s">
        <v>27</v>
      </c>
      <c r="C22" s="76" t="str">
        <f>'WRA Worksheet'!C22</f>
        <v>n</v>
      </c>
      <c r="D22" s="82">
        <f>'WRA Worksheet'!D22</f>
        <v>0</v>
      </c>
    </row>
    <row r="23" spans="1:4" ht="16" x14ac:dyDescent="0.2">
      <c r="A23" s="74">
        <v>4.08</v>
      </c>
      <c r="B23" s="75" t="s">
        <v>28</v>
      </c>
      <c r="C23" s="76" t="str">
        <f>'WRA Worksheet'!C23</f>
        <v>y</v>
      </c>
      <c r="D23" s="82">
        <f>'WRA Worksheet'!D23</f>
        <v>1</v>
      </c>
    </row>
    <row r="24" spans="1:4" ht="16" x14ac:dyDescent="0.2">
      <c r="A24" s="74">
        <v>4.09</v>
      </c>
      <c r="B24" s="75" t="s">
        <v>29</v>
      </c>
      <c r="C24" s="76" t="str">
        <f>'WRA Worksheet'!C24</f>
        <v>n</v>
      </c>
      <c r="D24" s="82">
        <f>'WRA Worksheet'!D24</f>
        <v>0</v>
      </c>
    </row>
    <row r="25" spans="1:4" ht="32" x14ac:dyDescent="0.2">
      <c r="A25" s="74">
        <v>4.0999999999999996</v>
      </c>
      <c r="B25" s="80" t="s">
        <v>30</v>
      </c>
      <c r="C25" s="76" t="str">
        <f>'WRA Worksheet'!C25</f>
        <v>y</v>
      </c>
      <c r="D25" s="82">
        <f>'WRA Worksheet'!D25</f>
        <v>1</v>
      </c>
    </row>
    <row r="26" spans="1:4" ht="16" x14ac:dyDescent="0.2">
      <c r="A26" s="74">
        <v>4.1100000000000003</v>
      </c>
      <c r="B26" s="75" t="s">
        <v>31</v>
      </c>
      <c r="C26" s="76" t="str">
        <f>'WRA Worksheet'!C26</f>
        <v>n</v>
      </c>
      <c r="D26" s="82">
        <f>'WRA Worksheet'!D26</f>
        <v>0</v>
      </c>
    </row>
    <row r="27" spans="1:4" ht="16" x14ac:dyDescent="0.2">
      <c r="A27" s="74">
        <v>4.12</v>
      </c>
      <c r="B27" s="75" t="s">
        <v>32</v>
      </c>
      <c r="C27" s="76" t="str">
        <f>'WRA Worksheet'!C27</f>
        <v>n</v>
      </c>
      <c r="D27" s="82">
        <f>'WRA Worksheet'!D27</f>
        <v>0</v>
      </c>
    </row>
    <row r="28" spans="1:4" ht="16" x14ac:dyDescent="0.2">
      <c r="A28" s="74">
        <v>5.01</v>
      </c>
      <c r="B28" s="75" t="s">
        <v>33</v>
      </c>
      <c r="C28" s="76" t="str">
        <f>'WRA Worksheet'!C28</f>
        <v>n</v>
      </c>
      <c r="D28" s="82">
        <f>'WRA Worksheet'!D28</f>
        <v>0</v>
      </c>
    </row>
    <row r="29" spans="1:4" ht="16" x14ac:dyDescent="0.2">
      <c r="A29" s="74">
        <v>5.0199999999999996</v>
      </c>
      <c r="B29" s="75" t="s">
        <v>34</v>
      </c>
      <c r="C29" s="76" t="str">
        <f>'WRA Worksheet'!C29</f>
        <v>n</v>
      </c>
      <c r="D29" s="82">
        <f>'WRA Worksheet'!D29</f>
        <v>0</v>
      </c>
    </row>
    <row r="30" spans="1:4" ht="16" x14ac:dyDescent="0.2">
      <c r="A30" s="74">
        <v>5.03</v>
      </c>
      <c r="B30" s="75" t="s">
        <v>35</v>
      </c>
      <c r="C30" s="76" t="str">
        <f>'WRA Worksheet'!C30</f>
        <v>n</v>
      </c>
      <c r="D30" s="82">
        <f>'WRA Worksheet'!D30</f>
        <v>0</v>
      </c>
    </row>
    <row r="31" spans="1:4" ht="16" x14ac:dyDescent="0.2">
      <c r="A31" s="74">
        <v>5.04</v>
      </c>
      <c r="B31" s="75" t="s">
        <v>36</v>
      </c>
      <c r="C31" s="76" t="str">
        <f>'WRA Worksheet'!C31</f>
        <v>n</v>
      </c>
      <c r="D31" s="82">
        <f>'WRA Worksheet'!D31</f>
        <v>0</v>
      </c>
    </row>
    <row r="32" spans="1:4" ht="16" x14ac:dyDescent="0.2">
      <c r="A32" s="74">
        <v>6.01</v>
      </c>
      <c r="B32" s="75" t="s">
        <v>37</v>
      </c>
      <c r="C32" s="76" t="str">
        <f>'WRA Worksheet'!C32</f>
        <v>n</v>
      </c>
      <c r="D32" s="82">
        <f>'WRA Worksheet'!D32</f>
        <v>0</v>
      </c>
    </row>
    <row r="33" spans="1:4" ht="16" x14ac:dyDescent="0.2">
      <c r="A33" s="74">
        <v>6.02</v>
      </c>
      <c r="B33" s="75" t="s">
        <v>38</v>
      </c>
      <c r="C33" s="76" t="str">
        <f>'WRA Worksheet'!C33</f>
        <v>y</v>
      </c>
      <c r="D33" s="82">
        <f>'WRA Worksheet'!D33</f>
        <v>1</v>
      </c>
    </row>
    <row r="34" spans="1:4" ht="16" x14ac:dyDescent="0.2">
      <c r="A34" s="74">
        <v>6.03</v>
      </c>
      <c r="B34" s="75" t="s">
        <v>39</v>
      </c>
      <c r="C34" s="76" t="str">
        <f>'WRA Worksheet'!C34</f>
        <v>?</v>
      </c>
      <c r="D34" s="82" t="str">
        <f>'WRA Worksheet'!D34</f>
        <v xml:space="preserve"> </v>
      </c>
    </row>
    <row r="35" spans="1:4" ht="16" x14ac:dyDescent="0.2">
      <c r="A35" s="74">
        <v>6.04</v>
      </c>
      <c r="B35" s="75" t="s">
        <v>40</v>
      </c>
      <c r="C35" s="76" t="str">
        <f>'WRA Worksheet'!C35</f>
        <v>?</v>
      </c>
      <c r="D35" s="82" t="str">
        <f>'WRA Worksheet'!D35</f>
        <v xml:space="preserve"> </v>
      </c>
    </row>
    <row r="36" spans="1:4" ht="16" x14ac:dyDescent="0.2">
      <c r="A36" s="74">
        <v>6.05</v>
      </c>
      <c r="B36" s="75" t="s">
        <v>41</v>
      </c>
      <c r="C36" s="76" t="str">
        <f>'WRA Worksheet'!C36</f>
        <v>n</v>
      </c>
      <c r="D36" s="82">
        <f>'WRA Worksheet'!D36</f>
        <v>0</v>
      </c>
    </row>
    <row r="37" spans="1:4" ht="16" x14ac:dyDescent="0.2">
      <c r="A37" s="74">
        <v>6.06</v>
      </c>
      <c r="B37" s="75" t="s">
        <v>42</v>
      </c>
      <c r="C37" s="76" t="str">
        <f>'WRA Worksheet'!C37</f>
        <v>?</v>
      </c>
      <c r="D37" s="82" t="str">
        <f>'WRA Worksheet'!D37</f>
        <v xml:space="preserve"> </v>
      </c>
    </row>
    <row r="38" spans="1:4" ht="16" x14ac:dyDescent="0.2">
      <c r="A38" s="74">
        <v>6.07</v>
      </c>
      <c r="B38" s="75" t="s">
        <v>43</v>
      </c>
      <c r="C38" s="81" t="str">
        <f>'WRA Worksheet'!C38</f>
        <v>?</v>
      </c>
      <c r="D38" s="82" t="str">
        <f>'WRA Worksheet'!D38</f>
        <v xml:space="preserve"> </v>
      </c>
    </row>
    <row r="39" spans="1:4" ht="32" x14ac:dyDescent="0.2">
      <c r="A39" s="74">
        <v>7.01</v>
      </c>
      <c r="B39" s="75" t="s">
        <v>44</v>
      </c>
      <c r="C39" s="76" t="str">
        <f>'WRA Worksheet'!C39</f>
        <v>n</v>
      </c>
      <c r="D39" s="82">
        <f>'WRA Worksheet'!D39</f>
        <v>-1</v>
      </c>
    </row>
    <row r="40" spans="1:4" ht="16" x14ac:dyDescent="0.2">
      <c r="A40" s="74">
        <v>7.02</v>
      </c>
      <c r="B40" s="75" t="s">
        <v>45</v>
      </c>
      <c r="C40" s="76" t="str">
        <f>'WRA Worksheet'!C40</f>
        <v>y</v>
      </c>
      <c r="D40" s="82">
        <f>'WRA Worksheet'!D40</f>
        <v>1</v>
      </c>
    </row>
    <row r="41" spans="1:4" ht="16" x14ac:dyDescent="0.2">
      <c r="A41" s="74">
        <v>7.03</v>
      </c>
      <c r="B41" s="75" t="s">
        <v>46</v>
      </c>
      <c r="C41" s="76" t="str">
        <f>'WRA Worksheet'!C41</f>
        <v>n</v>
      </c>
      <c r="D41" s="82">
        <f>'WRA Worksheet'!D41</f>
        <v>-1</v>
      </c>
    </row>
    <row r="42" spans="1:4" ht="16" x14ac:dyDescent="0.2">
      <c r="A42" s="74">
        <v>7.04</v>
      </c>
      <c r="B42" s="75" t="s">
        <v>47</v>
      </c>
      <c r="C42" s="76" t="str">
        <f>'WRA Worksheet'!C42</f>
        <v>n</v>
      </c>
      <c r="D42" s="82">
        <f>'WRA Worksheet'!D42</f>
        <v>-1</v>
      </c>
    </row>
    <row r="43" spans="1:4" ht="16" x14ac:dyDescent="0.2">
      <c r="A43" s="74">
        <v>7.05</v>
      </c>
      <c r="B43" s="75" t="s">
        <v>48</v>
      </c>
      <c r="C43" s="76" t="str">
        <f>'WRA Worksheet'!C43</f>
        <v>?</v>
      </c>
      <c r="D43" s="82" t="str">
        <f>'WRA Worksheet'!D43</f>
        <v xml:space="preserve"> </v>
      </c>
    </row>
    <row r="44" spans="1:4" ht="16" x14ac:dyDescent="0.2">
      <c r="A44" s="74">
        <v>7.06</v>
      </c>
      <c r="B44" s="75" t="s">
        <v>49</v>
      </c>
      <c r="C44" s="76" t="str">
        <f>'WRA Worksheet'!C44</f>
        <v>?</v>
      </c>
      <c r="D44" s="82" t="str">
        <f>'WRA Worksheet'!D44</f>
        <v xml:space="preserve"> </v>
      </c>
    </row>
    <row r="45" spans="1:4" ht="16" x14ac:dyDescent="0.2">
      <c r="A45" s="74">
        <v>7.07</v>
      </c>
      <c r="B45" s="75" t="s">
        <v>50</v>
      </c>
      <c r="C45" s="76" t="str">
        <f>'WRA Worksheet'!C45</f>
        <v>?</v>
      </c>
      <c r="D45" s="82" t="str">
        <f>'WRA Worksheet'!D45</f>
        <v xml:space="preserve"> </v>
      </c>
    </row>
    <row r="46" spans="1:4" ht="16" x14ac:dyDescent="0.2">
      <c r="A46" s="74">
        <v>7.08</v>
      </c>
      <c r="B46" s="75" t="s">
        <v>51</v>
      </c>
      <c r="C46" s="76" t="str">
        <f>'WRA Worksheet'!C46</f>
        <v>n</v>
      </c>
      <c r="D46" s="82">
        <f>'WRA Worksheet'!D46</f>
        <v>-1</v>
      </c>
    </row>
    <row r="47" spans="1:4" ht="16" x14ac:dyDescent="0.2">
      <c r="A47" s="74">
        <v>8.01</v>
      </c>
      <c r="B47" s="75" t="s">
        <v>52</v>
      </c>
      <c r="C47" s="76" t="str">
        <f>'WRA Worksheet'!C47</f>
        <v>?</v>
      </c>
      <c r="D47" s="82" t="str">
        <f>'WRA Worksheet'!D47</f>
        <v xml:space="preserve"> </v>
      </c>
    </row>
    <row r="48" spans="1:4" ht="16" x14ac:dyDescent="0.2">
      <c r="A48" s="74">
        <v>8.02</v>
      </c>
      <c r="B48" s="75" t="s">
        <v>53</v>
      </c>
      <c r="C48" s="76" t="str">
        <f>'WRA Worksheet'!C48</f>
        <v>n</v>
      </c>
      <c r="D48" s="82">
        <f>'WRA Worksheet'!D48</f>
        <v>-1</v>
      </c>
    </row>
    <row r="49" spans="1:4" ht="16" x14ac:dyDescent="0.2">
      <c r="A49" s="74">
        <v>8.0299999999999994</v>
      </c>
      <c r="B49" s="75" t="s">
        <v>54</v>
      </c>
      <c r="C49" s="76" t="str">
        <f>'WRA Worksheet'!C49</f>
        <v>y</v>
      </c>
      <c r="D49" s="82">
        <f>'WRA Worksheet'!D49</f>
        <v>-1</v>
      </c>
    </row>
    <row r="50" spans="1:4" ht="16" x14ac:dyDescent="0.2">
      <c r="A50" s="74">
        <v>8.0399999999999991</v>
      </c>
      <c r="B50" s="75" t="s">
        <v>55</v>
      </c>
      <c r="C50" s="76" t="str">
        <f>'WRA Worksheet'!C50</f>
        <v>y</v>
      </c>
      <c r="D50" s="82">
        <f>'WRA Worksheet'!D50</f>
        <v>1</v>
      </c>
    </row>
    <row r="51" spans="1:4" ht="16" x14ac:dyDescent="0.2">
      <c r="A51" s="74">
        <v>8.0500000000000007</v>
      </c>
      <c r="B51" s="67" t="s">
        <v>56</v>
      </c>
      <c r="C51" s="76" t="str">
        <f>'WRA Worksheet'!C51</f>
        <v>?</v>
      </c>
      <c r="D51" s="82" t="str">
        <f>'WRA Worksheet'!D51</f>
        <v xml:space="preserve"> </v>
      </c>
    </row>
    <row r="52" spans="1:4" ht="16" x14ac:dyDescent="0.2">
      <c r="A52" s="31"/>
      <c r="B52" s="32" t="s">
        <v>57</v>
      </c>
      <c r="C52" s="152">
        <f>'WRA Worksheet'!D53</f>
        <v>1</v>
      </c>
      <c r="D52" s="152"/>
    </row>
    <row r="53" spans="1:4" ht="16" x14ac:dyDescent="0.2">
      <c r="A53" s="33"/>
      <c r="B53" s="34" t="s">
        <v>109</v>
      </c>
      <c r="C53" s="152" t="str" cm="1">
        <f t="array" ref="C53">IF(OR('WRA Worksheet'!C71:D71="yes", 'WRA Worksheet'!C72:D72="yes", 'WRA Worksheet'!C73:D73="yes"),"yes","no")</f>
        <v>yes</v>
      </c>
      <c r="D53" s="152"/>
    </row>
    <row r="54" spans="1:4" ht="16" x14ac:dyDescent="0.2">
      <c r="A54" s="33"/>
      <c r="B54" s="34" t="s">
        <v>110</v>
      </c>
      <c r="C54" s="152" t="str">
        <f>IF(C53="yes", 'WRA Worksheet'!C74, 'WRA Worksheet'!D54)</f>
        <v>Accept</v>
      </c>
      <c r="D54" s="152"/>
    </row>
    <row r="55" spans="1:4" ht="16" thickBot="1" x14ac:dyDescent="0.25">
      <c r="A55" s="35"/>
      <c r="B55" s="36"/>
      <c r="C55" s="36"/>
      <c r="D55" s="37"/>
    </row>
    <row r="56" spans="1:4" ht="31" thickTop="1" x14ac:dyDescent="0.2">
      <c r="A56" s="38" t="s">
        <v>111</v>
      </c>
      <c r="B56" s="39" t="s">
        <v>112</v>
      </c>
      <c r="C56" s="40" t="s">
        <v>61</v>
      </c>
      <c r="D56" s="37"/>
    </row>
    <row r="57" spans="1:4" x14ac:dyDescent="0.2">
      <c r="A57" s="41" t="s">
        <v>62</v>
      </c>
      <c r="B57" s="42">
        <f>'WRA Worksheet'!C57</f>
        <v>11</v>
      </c>
      <c r="C57" s="43" t="str">
        <f>IF(B57&gt;=2,"yes","no")</f>
        <v>yes</v>
      </c>
      <c r="D57" s="37"/>
    </row>
    <row r="58" spans="1:4" x14ac:dyDescent="0.2">
      <c r="A58" s="41" t="s">
        <v>63</v>
      </c>
      <c r="B58" s="42">
        <f>'WRA Worksheet'!C58</f>
        <v>9</v>
      </c>
      <c r="C58" s="43" t="str">
        <f>IF(B58&gt;=2,"yes","no")</f>
        <v>yes</v>
      </c>
      <c r="D58" s="37"/>
    </row>
    <row r="59" spans="1:4" x14ac:dyDescent="0.2">
      <c r="A59" s="41" t="s">
        <v>64</v>
      </c>
      <c r="B59" s="42">
        <f>'WRA Worksheet'!C59</f>
        <v>15</v>
      </c>
      <c r="C59" s="43" t="str">
        <f>IF(B59&gt;=6,"yes","no")</f>
        <v>yes</v>
      </c>
      <c r="D59" s="37"/>
    </row>
    <row r="60" spans="1:4" ht="16" thickBot="1" x14ac:dyDescent="0.25">
      <c r="A60" s="44" t="s">
        <v>65</v>
      </c>
      <c r="B60" s="45">
        <f>'WRA Worksheet'!C60</f>
        <v>35</v>
      </c>
      <c r="C60" s="46" t="str">
        <f>IF(C57="no","no",IF(C58="no","no",IF(C59="no","no","yes")))</f>
        <v>yes</v>
      </c>
      <c r="D60" s="37"/>
    </row>
    <row r="61" spans="1:4" ht="16" thickTop="1" x14ac:dyDescent="0.2"/>
  </sheetData>
  <sheetProtection algorithmName="SHA-512" hashValue="OUPP6/JLKjaOreRnDsqedMxLQ5QXL0Eh+Rws3VhK3vD2Gyo6l4J6cu1Tr5oxN4ZoMbAZCxsipXqLcQtAUkOMKQ==" saltValue="SQl0PRYgekQzaekw/tcing==" spinCount="100000" sheet="1" objects="1" scenarios="1" formatCells="0"/>
  <mergeCells count="5">
    <mergeCell ref="A2:B2"/>
    <mergeCell ref="C52:D52"/>
    <mergeCell ref="C53:D53"/>
    <mergeCell ref="C54:D54"/>
    <mergeCell ref="A1:C1"/>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3A353-381C-4CCD-9F7C-6233287381B8}">
  <sheetPr>
    <tabColor theme="0"/>
  </sheetPr>
  <dimension ref="A1:C50"/>
  <sheetViews>
    <sheetView workbookViewId="0">
      <selection activeCell="C15" sqref="C15"/>
    </sheetView>
  </sheetViews>
  <sheetFormatPr baseColWidth="10" defaultColWidth="8.83203125" defaultRowHeight="15" x14ac:dyDescent="0.2"/>
  <cols>
    <col min="1" max="1" width="5" customWidth="1"/>
    <col min="2" max="3" width="49.5" customWidth="1"/>
  </cols>
  <sheetData>
    <row r="1" spans="1:3" ht="28.5" customHeight="1" x14ac:dyDescent="0.2">
      <c r="A1" s="47"/>
      <c r="B1" s="48" t="s">
        <v>6</v>
      </c>
      <c r="C1" s="49" t="s">
        <v>7</v>
      </c>
    </row>
    <row r="2" spans="1:3" x14ac:dyDescent="0.2">
      <c r="A2" s="30">
        <v>1.01</v>
      </c>
      <c r="B2" s="50" t="str" cm="1">
        <f t="array" ref="B2:C50">'WRA Worksheet'!F3:G51</f>
        <v>No evidence</v>
      </c>
      <c r="C2" s="51">
        <v>0</v>
      </c>
    </row>
    <row r="3" spans="1:3" x14ac:dyDescent="0.2">
      <c r="A3" s="30">
        <v>1.02</v>
      </c>
      <c r="B3" s="50">
        <v>0</v>
      </c>
      <c r="C3" s="50">
        <v>0</v>
      </c>
    </row>
    <row r="4" spans="1:3" x14ac:dyDescent="0.2">
      <c r="A4" s="30">
        <v>1.03</v>
      </c>
      <c r="B4" s="50">
        <v>0</v>
      </c>
      <c r="C4" s="50">
        <v>0</v>
      </c>
    </row>
    <row r="5" spans="1:3" x14ac:dyDescent="0.2">
      <c r="A5" s="30">
        <v>2.0099999999999998</v>
      </c>
      <c r="B5" s="52" t="str">
        <v>Not enough information for climate suitability modelling. 1. Global plant
hardiness zones 8-10; equivalent to USDA Hardiness zones
8a-10a (north, central south zones of Florida). 2.
Distributional range: Native to New South Wales (se) and
Victoria (e), Australia. 3. Found on the coastal ranges
adjacent to the escarpment and table lands of southern
NSW, and into the ranges of Victoria. Occurs on lower
slopes of hills, and on edges of streams and swamps. 4.
Locally frequent, in shallow soils on sloping site; south from
Yerranderie. NSW subdivisions: SC, CT, ST. Other Australian
states: Vic. 5. South Africa, Swaziland, and Zimbabwe.</v>
      </c>
      <c r="C5" s="53" t="str">
        <v>1. PERAL NAPPFAST Global Plant Hardiness
(http://www.nappfast.org/Plant_hardiness/NAPPFAST%20
Global%20zones/10-
year%20climate/PLANT_HARDINESS_10YR%20lgnd.tif) &amp; 2.
USDA/ARS-GRIN [Online Database]. National Germplasm
Resources Laboratory, Beltsville, Maryland (http://www.ars-
grin.gov/cgi-bin/npgs/html/taxon.pl?15948. 15 December
2011. 3. Ecocrop . Copyright 1993-2007. Food and
Agriculture Organization of the United Nations. Web. 31
January 2012.
http://ecocrop.fao.org/ecocrop/srv/en/home. 4. The Royal
Botanic Gardens and Domain Trust ([31 January 2012]).
PlantNET - The Plant Information Network System of The
Royal Botanic Gardens and Domain Trust, Sydney, Australia
(2.0 [1991]). http://plantnet.rbgsyd.nsw.gov.au. 5. FAO
Forestry Department. 1995. Non-Wood Forest Products.
Flavours and fragances of plant origin, Chapter 5 Eucalyptus
Oil. FAO, Rome. E-Book. 1 February 2012.
http://www.fao.org/docrep/V5350E/V5350E00.htm.</v>
      </c>
    </row>
    <row r="6" spans="1:3" x14ac:dyDescent="0.2">
      <c r="A6" s="30">
        <v>2.02</v>
      </c>
      <c r="B6" s="53" t="str">
        <v xml:space="preserve">Not enough information for climate suitability modelling. </v>
      </c>
      <c r="C6" s="54">
        <v>0</v>
      </c>
    </row>
    <row r="7" spans="1:3" x14ac:dyDescent="0.2">
      <c r="A7" s="30">
        <v>2.0299999999999998</v>
      </c>
      <c r="B7" s="54" t="str">
        <v>Limited to a few locations and climates. (1)</v>
      </c>
      <c r="C7" s="53" t="str">
        <v>[1] https://www.gbif.org/species/3177175</v>
      </c>
    </row>
    <row r="8" spans="1:3" x14ac:dyDescent="0.2">
      <c r="A8" s="30">
        <v>2.04</v>
      </c>
      <c r="B8" s="51" t="str">
        <v>Rainfall limits from 750-1700mm (29.5- 66.9inches) (1)</v>
      </c>
      <c r="C8" s="51" t="str">
        <v>[1] https://www.cabidigitallibrary.org/doi/full/10.1079/cabicompendium.22862</v>
      </c>
    </row>
    <row r="9" spans="1:3" x14ac:dyDescent="0.2">
      <c r="A9" s="30">
        <v>2.0499999999999998</v>
      </c>
      <c r="B9" s="51" t="str">
        <v>FAO Forestry Department. 1995. Non-Wood Forest
Products. Flavours and fragances of plant origin, Chapter 5
Eucalyptus Oil. FAO, Rome. E-Book. 1 February 2012.
http://www.fao.org/docrep/V5350E/V5350E00.htm (1) Multiple occurrences focused around New Zealand, parts of Africa, and Brazil (2)</v>
      </c>
      <c r="C9" s="53" t="str">
        <v>1. Grows very well under local conditions in South Africa
(grown for mining timber) and Swaziland producing large
amounts of leaf biomass and has led to it being the
preferred species for oil production over other species.
Zimbabwe is a minor producer. (2) https://www.gbif.org/species/3177175</v>
      </c>
    </row>
    <row r="10" spans="1:3" x14ac:dyDescent="0.2">
      <c r="A10" s="30">
        <v>3.01</v>
      </c>
      <c r="B10" s="51" t="str">
        <v>No evidence</v>
      </c>
      <c r="C10" s="53">
        <v>0</v>
      </c>
    </row>
    <row r="11" spans="1:3" x14ac:dyDescent="0.2">
      <c r="A11" s="30">
        <v>3.02</v>
      </c>
      <c r="B11" s="50">
        <v>0</v>
      </c>
      <c r="C11" s="53">
        <v>0</v>
      </c>
    </row>
    <row r="12" spans="1:3" x14ac:dyDescent="0.2">
      <c r="A12" s="30">
        <v>3.03</v>
      </c>
      <c r="B12" s="50">
        <v>0</v>
      </c>
      <c r="C12" s="53">
        <v>0</v>
      </c>
    </row>
    <row r="13" spans="1:3" x14ac:dyDescent="0.2">
      <c r="A13" s="30">
        <v>3.04</v>
      </c>
      <c r="B13" s="51">
        <v>0</v>
      </c>
      <c r="C13" s="53">
        <v>0</v>
      </c>
    </row>
    <row r="14" spans="1:3" x14ac:dyDescent="0.2">
      <c r="A14" s="30">
        <v>3.05</v>
      </c>
      <c r="B14" s="51" t="str">
        <v>1. The following eucalypts are considered principal weeds
in Australia (principal weed in this context is ranked
according to the importance of the weed and is usually
referring to about the five most troublesome species for
the crop): E. cambageana, E. ferruginea, E. gracilis, E.
marginata, E. miniata, E. pilularis, E. populnea, E.
tetradonta.</v>
      </c>
      <c r="C14" s="53" t="str">
        <v>1. Holm, L. et al. A Geographical Atlas of World Weeds.
John Wiley and Sons, New York. 1979.</v>
      </c>
    </row>
    <row r="15" spans="1:3" x14ac:dyDescent="0.2">
      <c r="A15" s="30">
        <v>4.01</v>
      </c>
      <c r="B15" s="50" t="str">
        <v>No evidence</v>
      </c>
      <c r="C15" s="55">
        <v>0</v>
      </c>
    </row>
    <row r="16" spans="1:3" x14ac:dyDescent="0.2">
      <c r="A16" s="30">
        <v>4.0199999999999996</v>
      </c>
      <c r="B16" s="51" t="str">
        <v>Not enough information found</v>
      </c>
      <c r="C16" s="51">
        <v>0</v>
      </c>
    </row>
    <row r="17" spans="1:3" x14ac:dyDescent="0.2">
      <c r="A17" s="30">
        <v>4.03</v>
      </c>
      <c r="B17" s="51" t="str">
        <v>No evidence</v>
      </c>
      <c r="C17" s="51">
        <v>0</v>
      </c>
    </row>
    <row r="18" spans="1:3" x14ac:dyDescent="0.2">
      <c r="A18" s="30">
        <v>4.04</v>
      </c>
      <c r="B18" s="51" t="str">
        <v>Not enough information found</v>
      </c>
      <c r="C18" s="51">
        <v>0</v>
      </c>
    </row>
    <row r="19" spans="1:3" x14ac:dyDescent="0.2">
      <c r="A19" s="30">
        <v>4.05</v>
      </c>
      <c r="B19" s="51" t="str">
        <v>Contains toxic compounds (1). However, unclear if it can lead to toxicity in the field</v>
      </c>
      <c r="C19" s="51" t="str">
        <v>[1] https://www.nhrorganicoils.com/uploads/20250725110542e_Eucalyptus_Smithii_MSDS.pdf</v>
      </c>
    </row>
    <row r="20" spans="1:3" x14ac:dyDescent="0.2">
      <c r="A20" s="30">
        <v>4.0599999999999996</v>
      </c>
      <c r="B20" s="51" t="str">
        <v>Can be host to termites, although it is noted to be somewhat tolerant (1) (2). Additionally, 3.a. Thaumastocoris peregrinus (bronze bug) is a
gregarious, sap-sucking bug that has become a significant
pest in commercially important exotic Eucalyptus
plantations of South Africa. Infests many eucalypts species
and hybrids, including E. smithii . 3.b. Phytophthora
nicotianae (Phytophthora rot) has been recovered from
dead and dying Eucalyptus spp. E. smithii (Maseko et al.,
2001). It is believed that this is the causative agent in cooler
areas of root and collar rot. It has a very wide host range
that includes other tree species and crops.</v>
      </c>
      <c r="C20" s="51" t="str">
        <v>[1] Atkinson, P. R., Nixon, K. M., &amp; Shaw, M. J. P. (1992). On the susceptibility of Eucalyptus species and clones to attack by Macrotermes natalensis Haviland (Isoptera: Termitidae). Forest Ecology and Management, 48(1-2), 15-30. [2] https://www.cabidigitallibrary.org/doi/full/10.1079/cabicompendium.22862 [3] FAO. 2007. Forest Health &amp; Biosecurity Working Papers
Overview of Forest Pests – South Africa. Working Paper
FBS/30E, FAO, Rome. 31 January 2012.
http://www.fao.org/docrep/012/al019e/al019e00.pdf.</v>
      </c>
    </row>
    <row r="21" spans="1:3" x14ac:dyDescent="0.2">
      <c r="A21" s="30">
        <v>4.07</v>
      </c>
      <c r="B21" s="51" t="str">
        <v>No evidence</v>
      </c>
      <c r="C21" s="51">
        <v>0</v>
      </c>
    </row>
    <row r="22" spans="1:3" x14ac:dyDescent="0.2">
      <c r="A22" s="30">
        <v>4.08</v>
      </c>
      <c r="B22" s="51" t="str">
        <v>Contains essential oils (such as 1,8-cineole) that are highly flammable (1) (2)</v>
      </c>
      <c r="C22" s="53" t="str">
        <v>[1] https://wildasthewind.com/product/eucalyptus-smithii-essential-oil/ [2]  sigmaaldrich.com/ZA/en/product/mm/843788</v>
      </c>
    </row>
    <row r="23" spans="1:3" x14ac:dyDescent="0.2">
      <c r="A23" s="30">
        <v>4.09</v>
      </c>
      <c r="B23" s="51" t="str">
        <v>Not enough information found on taxon. However, congeners in general require plenty of sun to grow (1) (2)</v>
      </c>
      <c r="C23" s="51" t="str">
        <v>[1] https://www.gardenia.net/guide/eucalyptus-how-to-grow-care [2] https://www.douglascountymg.org/ask-a-master-gardener-eucalyptus/</v>
      </c>
    </row>
    <row r="24" spans="1:3" x14ac:dyDescent="0.2">
      <c r="A24" s="30">
        <v>4.0999999999999996</v>
      </c>
      <c r="B24" s="51" t="str">
        <v>1. Prefers clay loams or deep sandy loams over clays; will
grow on a wide range of soils. Poorer soils ar oftern sand
over sandstone or conglomerate.</v>
      </c>
      <c r="C24" s="51" t="str">
        <v>1. Boland, D.J. et al. Forest Trees of Australia . 5th ed.
Collingswood, Victoria, Australia: CSIRO, 2006. Print.</v>
      </c>
    </row>
    <row r="25" spans="1:3" x14ac:dyDescent="0.2">
      <c r="A25" s="30">
        <v>4.1100000000000003</v>
      </c>
      <c r="B25" s="51" t="str">
        <v>No evidence</v>
      </c>
      <c r="C25" s="51">
        <v>0</v>
      </c>
    </row>
    <row r="26" spans="1:3" x14ac:dyDescent="0.2">
      <c r="A26" s="30">
        <v>4.12</v>
      </c>
      <c r="B26" s="51" t="str">
        <v>No evidence</v>
      </c>
      <c r="C26" s="51">
        <v>0</v>
      </c>
    </row>
    <row r="27" spans="1:3" x14ac:dyDescent="0.2">
      <c r="A27" s="30">
        <v>5.01</v>
      </c>
      <c r="B27" s="51" t="str">
        <v>No evidence</v>
      </c>
      <c r="C27" s="51">
        <v>0</v>
      </c>
    </row>
    <row r="28" spans="1:3" x14ac:dyDescent="0.2">
      <c r="A28" s="30">
        <v>5.0199999999999996</v>
      </c>
      <c r="B28" s="51" t="str">
        <v>Not of the Poaceae family</v>
      </c>
      <c r="C28" s="51">
        <v>0</v>
      </c>
    </row>
    <row r="29" spans="1:3" x14ac:dyDescent="0.2">
      <c r="A29" s="30">
        <v>5.03</v>
      </c>
      <c r="B29" s="51" t="str">
        <v>No evidence</v>
      </c>
      <c r="C29" s="51">
        <v>0</v>
      </c>
    </row>
    <row r="30" spans="1:3" x14ac:dyDescent="0.2">
      <c r="A30" s="30">
        <v>5.04</v>
      </c>
      <c r="B30" s="51" t="str">
        <v>No evidence</v>
      </c>
      <c r="C30" s="51">
        <v>0</v>
      </c>
    </row>
    <row r="31" spans="1:3" x14ac:dyDescent="0.2">
      <c r="A31" s="30">
        <v>6.01</v>
      </c>
      <c r="B31" s="50" t="str">
        <v>No evidence</v>
      </c>
      <c r="C31" s="51">
        <v>0</v>
      </c>
    </row>
    <row r="32" spans="1:3" x14ac:dyDescent="0.2">
      <c r="A32" s="30">
        <v>6.02</v>
      </c>
      <c r="B32" s="51" t="str">
        <v>Seeds sold online (1) (2)</v>
      </c>
      <c r="C32" s="51" t="str">
        <v>[1] https://www.livinggreenandfeelingseedy.com/product-page/eucalyptus-smithii-blackbutt-peppermint-gully-gum-100-seeds [2] https://www.ebay.com/itm/360324070043</v>
      </c>
    </row>
    <row r="33" spans="1:3" x14ac:dyDescent="0.2">
      <c r="A33" s="30">
        <v>6.03</v>
      </c>
      <c r="B33" s="51" t="str">
        <v>Not enough information found</v>
      </c>
      <c r="C33" s="51">
        <v>0</v>
      </c>
    </row>
    <row r="34" spans="1:3" x14ac:dyDescent="0.2">
      <c r="A34" s="30">
        <v>6.04</v>
      </c>
      <c r="B34" s="51" t="str">
        <v>Not enough information found</v>
      </c>
      <c r="C34" s="51">
        <v>0</v>
      </c>
    </row>
    <row r="35" spans="1:3" x14ac:dyDescent="0.2">
      <c r="A35" s="30">
        <v>6.05</v>
      </c>
      <c r="B35" s="51" t="str">
        <v>No evidence</v>
      </c>
      <c r="C35" s="51">
        <v>0</v>
      </c>
    </row>
    <row r="36" spans="1:3" x14ac:dyDescent="0.2">
      <c r="A36" s="30">
        <v>6.06</v>
      </c>
      <c r="B36" s="51" t="str">
        <v>Noted to be vegetatively propaged by cuttings and tissue culture (1). Not enough supporting information found.</v>
      </c>
      <c r="C36" s="51" t="str">
        <v>[1] https://www.cabidigitallibrary.org/doi/full/10.1079/cabicompendium.22862</v>
      </c>
    </row>
    <row r="37" spans="1:3" x14ac:dyDescent="0.2">
      <c r="A37" s="30">
        <v>6.07</v>
      </c>
      <c r="B37" s="51" t="str">
        <v>Not enough information found</v>
      </c>
      <c r="C37" s="51">
        <v>0</v>
      </c>
    </row>
    <row r="38" spans="1:3" x14ac:dyDescent="0.2">
      <c r="A38" s="30">
        <v>7.01</v>
      </c>
      <c r="B38" s="51" t="str">
        <v>No evidence</v>
      </c>
      <c r="C38" s="51">
        <v>0</v>
      </c>
    </row>
    <row r="39" spans="1:3" x14ac:dyDescent="0.2">
      <c r="A39" s="30">
        <v>7.02</v>
      </c>
      <c r="B39" s="51" t="str">
        <v>Seeds sold online (1) (2)</v>
      </c>
      <c r="C39" s="51" t="str">
        <v>[1] https://www.livinggreenandfeelingseedy.com/product-page/eucalyptus-smithii-blackbutt-peppermint-gully-gum-100-seeds [2] https://www.ebay.com/itm/360324070043</v>
      </c>
    </row>
    <row r="40" spans="1:3" x14ac:dyDescent="0.2">
      <c r="A40" s="30">
        <v>7.03</v>
      </c>
      <c r="B40" s="50" t="str">
        <v>No evidence</v>
      </c>
      <c r="C40" s="51">
        <v>0</v>
      </c>
    </row>
    <row r="41" spans="1:3" x14ac:dyDescent="0.2">
      <c r="A41" s="30">
        <v>7.04</v>
      </c>
      <c r="B41" s="51" t="str">
        <v>"Although Eucalyptus seeds is very light and small, it is not adapted to wind dispersal…" (1). Eucalyptus seeds in general can potentially be dispersed by wind, but only along limited distances (&lt;53 meters) (2)</v>
      </c>
      <c r="C41" s="51" t="str">
        <v>[1] https://www.aphis.usda.gov/sites/default/files/08_011116rm_ea.pdf [2] Booth, T. H. (2017). Going nowhere fast: a review of seed dispersal in eucalypts. Australian Journal of Botany, 65(5), 401-410.</v>
      </c>
    </row>
    <row r="42" spans="1:3" x14ac:dyDescent="0.2">
      <c r="A42" s="30">
        <v>7.05</v>
      </c>
      <c r="B42" s="51" t="str">
        <v>No information found regarding potential for seeds to float</v>
      </c>
      <c r="C42" s="51">
        <v>0</v>
      </c>
    </row>
    <row r="43" spans="1:3" x14ac:dyDescent="0.2">
      <c r="A43" s="30">
        <v>7.06</v>
      </c>
      <c r="B43" s="51" t="str">
        <v>No evidence</v>
      </c>
      <c r="C43" s="51">
        <v>0</v>
      </c>
    </row>
    <row r="44" spans="1:3" x14ac:dyDescent="0.2">
      <c r="A44" s="30">
        <v>7.07</v>
      </c>
      <c r="B44" s="51" t="str">
        <v>Possible as seeds are small. No direct information found</v>
      </c>
      <c r="C44" s="51">
        <v>0</v>
      </c>
    </row>
    <row r="45" spans="1:3" x14ac:dyDescent="0.2">
      <c r="A45" s="30">
        <v>7.08</v>
      </c>
      <c r="B45" s="50" t="str">
        <v>Not enough information found on the taxon. However, eucalyptus in general are not noted to be dispersed zoochorically (1) (2)</v>
      </c>
      <c r="C45" s="51" t="str">
        <v>[1] Booth, T. H. (2017). Going nowhere fast: a review of seed dispersal in eucalypts. Australian Journal of Botany, 65(5), 401-410. [2]  Southern, S.G. et al. 2004. Review of gene movement by
bats and birds and its potential significance for eucalypt
plantation forestry. Australian Forestry , 67(1): 44-53.</v>
      </c>
    </row>
    <row r="46" spans="1:3" x14ac:dyDescent="0.2">
      <c r="A46" s="30">
        <v>8.01</v>
      </c>
      <c r="B46" s="50" t="str">
        <v>Not enough information found. Possible as seeds are small, but direct numbers not found</v>
      </c>
      <c r="C46" s="51">
        <v>0</v>
      </c>
    </row>
    <row r="47" spans="1:3" x14ac:dyDescent="0.2">
      <c r="A47" s="30">
        <v>8.02</v>
      </c>
      <c r="B47" s="51" t="str">
        <v>No direct evidence found on taxon, but eucalypt seeds in general are not known to have dormancy in soils for more than a year (1)</v>
      </c>
      <c r="C47" s="51" t="str">
        <v>[1] Rejmánek, M. &amp; D.M. Richardson. 2011. Eucalypts (203-
209). In D. Simberloff &amp; M. Rejmánek, eds. Encyclopedia of
Biological Invasions . Berkeley: University of California
Press.</v>
      </c>
    </row>
    <row r="48" spans="1:3" x14ac:dyDescent="0.2">
      <c r="A48" s="30">
        <v>8.0299999999999994</v>
      </c>
      <c r="B48" s="51" t="str">
        <v>No direct evidence found on taxon, but eucalypts in general are noted to be controlled by herbicides (triclopyr or glyphosate). [1]</v>
      </c>
      <c r="C48" s="51" t="str">
        <v>[1] Rejmánek, M. &amp; D.M. Richardson. 2011. Eucalypts (203-
209). In D. Simberloff &amp; M. Rejmánek, eds. Encyclopedia of
Biological Invasions . Berkeley: University of California
Press.</v>
      </c>
    </row>
    <row r="49" spans="1:3" x14ac:dyDescent="0.2">
      <c r="A49" s="30">
        <v>8.0399999999999991</v>
      </c>
      <c r="B49" s="51" t="str">
        <v>1. In Swaziland E. smithii responds well to coppicing; the
first cut is made 20-24 months after planting and
subsequent cuts of the coppice regrowth are made at
approximately 16 month intervals. Harvesting may continue
for as much as 20 years or more. 2. Has a regenerative
strategy as a lignotuber sprouter.</v>
      </c>
      <c r="C49" s="51" t="str">
        <v>1. FAO Forestry Department. 1995. Non-Wood Forest
Products. Flavours and fragances of plant origin, Chapter 5
Eucalyptus Oil. FAO, Rome. E-Book. 1 February 2012.
http://www.fao.org/docrep/V5350E/V5350E00.htm. 2.
Rejmánek, M. &amp; D.M. Richardson. 2011. Eucalypts (203-
209). In D. Simberloff &amp; M. Rejmánek, eds. Encyclopedia of
Biological Invasions. Berkeley: University of California Press.</v>
      </c>
    </row>
    <row r="50" spans="1:3" x14ac:dyDescent="0.2">
      <c r="A50" s="30">
        <v>8.0500000000000007</v>
      </c>
      <c r="B50" s="50" t="str">
        <v>Not enough information found</v>
      </c>
      <c r="C50" s="51">
        <v>0</v>
      </c>
    </row>
  </sheetData>
  <sheetProtection algorithmName="SHA-512" hashValue="HwVsddSKA36z0HQovLp52AHeyUwXIB3BK9O2Nfeb1wc6CSMAX71mBA8zvBTYMnBwR7SnlERXptCmZRxSLLKyAA==" saltValue="5pGpLizWx2P+VsfdacsGSg=="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21a967f-c9b6-4417-8b28-12bf5b07c60b">
      <Terms xmlns="http://schemas.microsoft.com/office/infopath/2007/PartnerControls"/>
    </lcf76f155ced4ddcb4097134ff3c332f>
    <TaxCatchAll xmlns="898990d9-3832-423e-b64c-5c8524f186a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D21906AFC853A408AD5005C49B5E75E" ma:contentTypeVersion="16" ma:contentTypeDescription="Create a new document." ma:contentTypeScope="" ma:versionID="b0bb80d225c275d8cbc214fe25479caa">
  <xsd:schema xmlns:xsd="http://www.w3.org/2001/XMLSchema" xmlns:xs="http://www.w3.org/2001/XMLSchema" xmlns:p="http://schemas.microsoft.com/office/2006/metadata/properties" xmlns:ns2="f21a967f-c9b6-4417-8b28-12bf5b07c60b" xmlns:ns3="898990d9-3832-423e-b64c-5c8524f186af" targetNamespace="http://schemas.microsoft.com/office/2006/metadata/properties" ma:root="true" ma:fieldsID="92aa9d5f0ffbc745df48d8777f40dc0d" ns2:_="" ns3:_="">
    <xsd:import namespace="f21a967f-c9b6-4417-8b28-12bf5b07c60b"/>
    <xsd:import namespace="898990d9-3832-423e-b64c-5c8524f186a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1a967f-c9b6-4417-8b28-12bf5b07c60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fa0c477a-f09e-4137-8c49-77869fdcca9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98990d9-3832-423e-b64c-5c8524f186af"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510cedfe-beb2-4ef3-8cef-26ff56bb9e6e}" ma:internalName="TaxCatchAll" ma:showField="CatchAllData" ma:web="898990d9-3832-423e-b64c-5c8524f186af">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24714E1-6774-437D-801A-4B8EB940739E}">
  <ds:schemaRefs>
    <ds:schemaRef ds:uri="http://schemas.microsoft.com/office/2006/metadata/properties"/>
    <ds:schemaRef ds:uri="http://schemas.microsoft.com/office/infopath/2007/PartnerControls"/>
    <ds:schemaRef ds:uri="f21a967f-c9b6-4417-8b28-12bf5b07c60b"/>
    <ds:schemaRef ds:uri="898990d9-3832-423e-b64c-5c8524f186af"/>
  </ds:schemaRefs>
</ds:datastoreItem>
</file>

<file path=customXml/itemProps2.xml><?xml version="1.0" encoding="utf-8"?>
<ds:datastoreItem xmlns:ds="http://schemas.openxmlformats.org/officeDocument/2006/customXml" ds:itemID="{C72C3439-75BE-411A-8E6B-DF10E44BED25}">
  <ds:schemaRefs>
    <ds:schemaRef ds:uri="http://schemas.microsoft.com/sharepoint/v3/contenttype/forms"/>
  </ds:schemaRefs>
</ds:datastoreItem>
</file>

<file path=customXml/itemProps3.xml><?xml version="1.0" encoding="utf-8"?>
<ds:datastoreItem xmlns:ds="http://schemas.openxmlformats.org/officeDocument/2006/customXml" ds:itemID="{426919C1-6C3F-4EE8-A334-47EF59B57A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1a967f-c9b6-4417-8b28-12bf5b07c60b"/>
    <ds:schemaRef ds:uri="898990d9-3832-423e-b64c-5c8524f186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4</vt:i4>
      </vt:variant>
    </vt:vector>
  </HeadingPairs>
  <TitlesOfParts>
    <vt:vector size="4" baseType="lpstr">
      <vt:lpstr>WRA Worksheet</vt:lpstr>
      <vt:lpstr>LUT</vt:lpstr>
      <vt:lpstr>PDF Template Scoresheet</vt:lpstr>
      <vt:lpstr>PDF Template Refs &amp; 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Wanamaker,Christian E</dc:creator>
  <cp:keywords/>
  <dc:description/>
  <cp:lastModifiedBy>Kim,Seokmin</cp:lastModifiedBy>
  <cp:revision/>
  <dcterms:created xsi:type="dcterms:W3CDTF">2021-06-15T16:34:22Z</dcterms:created>
  <dcterms:modified xsi:type="dcterms:W3CDTF">2025-11-20T19:58:46Z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0x010100BD21906AFC853A408AD5005C49B5E75E</vt:lpwstr>
  </property>
  <property fmtid="{D5CDD505-2E9C-101B-9397-08002B2CF9AE}" pid="3" name="MediaServiceImageTags">
    <vt:lpwstr/>
  </property>
</Properties>
</file>