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2"/>
  <workbookPr defaultThemeVersion="166925"/>
  <mc:AlternateContent xmlns:mc="http://schemas.openxmlformats.org/markup-compatibility/2006">
    <mc:Choice Requires="x15">
      <x15ac:absPath xmlns:x15ac="http://schemas.microsoft.com/office/spreadsheetml/2010/11/ac" url="/Users/seokminkim/Desktop/Assessments/Species/Spathoglottis plicata/Spathoglottis_plicata_/Docs/"/>
    </mc:Choice>
  </mc:AlternateContent>
  <xr:revisionPtr revIDLastSave="0" documentId="13_ncr:1_{17DCC6EE-AD9B-5848-91DD-0E20175C11FE}" xr6:coauthVersionLast="47" xr6:coauthVersionMax="47" xr10:uidLastSave="{00000000-0000-0000-0000-000000000000}"/>
  <bookViews>
    <workbookView xWindow="1160" yWindow="1040" windowWidth="27260" windowHeight="1714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C74" i="1" s="1"/>
  <c r="C53" i="3" a="1"/>
  <c r="C53" i="3" s="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D59" i="1" l="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<sst xmlns="http://schemas.openxmlformats.org/spreadsheetml/2006/main" count="338" uniqueCount="174">
  <si>
    <t>Species:</t>
  </si>
  <si>
    <t>Spathoglottis plicata</t>
  </si>
  <si>
    <r>
      <rPr>
        <sz val="11"/>
        <color rgb="FF000000"/>
        <rFont val="Calibri"/>
      </rPr>
      <t>Assessment date:</t>
    </r>
    <r>
      <rPr>
        <sz val="11"/>
        <color rgb="FFFF0000"/>
        <rFont val="Calibri"/>
      </rPr>
      <t xml:space="preserve"> 03 November 2025</t>
    </r>
    <r>
      <rPr>
        <sz val="11"/>
        <color rgb="FF000000"/>
        <rFont val="Calibri"/>
      </rPr>
      <t xml:space="preserve"> Prepared by Cameron Deelstra</t>
    </r>
  </si>
  <si>
    <t>Number</t>
  </si>
  <si>
    <t>Question</t>
  </si>
  <si>
    <t>Answer</t>
  </si>
  <si>
    <t>Score</t>
  </si>
  <si>
    <t>Uncertainty</t>
  </si>
  <si>
    <t>Evidence</t>
  </si>
  <si>
    <t>Reference</t>
  </si>
  <si>
    <t>Is the species highly domesticated?</t>
  </si>
  <si>
    <t>n</t>
  </si>
  <si>
    <t>No evidence.</t>
  </si>
  <si>
    <t>Has the species become naturalised where grown?</t>
  </si>
  <si>
    <t>Does the species have weedy races?</t>
  </si>
  <si>
    <t>Species suited to Florida's USDA climate zones (1-low; 2-intermediate; 3-high)
       North Zone: suited to Zones 8, 9
       Central Zone: suited to Zones 9, 10
       South Zone: suited to Zone 10</t>
  </si>
  <si>
    <t>Taxon is well suited to South Zone and moderately suited to Central Florida.</t>
  </si>
  <si>
    <t>See climate suitability maps.</t>
  </si>
  <si>
    <t>Quality of climate match data (1-low; 2-intermediate; 3-high)</t>
  </si>
  <si>
    <t>Broad climate suitability (environmental versatility)</t>
  </si>
  <si>
    <t>Taxon is suited to the tropics and only moderately the subtropics. See climate suitability map.</t>
  </si>
  <si>
    <t>Native or naturalized in habitats with periodic inundation
       North Zone: mean annual precipitation 50-70 inches
       Central Zone: mean annual precipitation 40-60 inches
       South Zone: mean annual precipitation 40-60 inches</t>
  </si>
  <si>
    <t>Taxon does not tolerate flooding well (1)(2).
"Originally from Southeast Asia, the Philippine ground orchid makes a great groundcover for well-drained soil that does not flood (1)."
"Grows best on moist well-drained soils. Prefers full sun and moderate amount of water (2)."</t>
  </si>
  <si>
    <t>(1) https://blogs.ifas.ufl.edu/charlotteco/2024/02/12/spathoglottis-a-beautiful-terrestrial-orchid/
(2) https://www.socfindoconservation.co.id/plant/695?lang=en</t>
  </si>
  <si>
    <t>Does the species have a history of repeated introductions outside its natural range?</t>
  </si>
  <si>
    <t>y</t>
  </si>
  <si>
    <t>Taxon has a history of repeated introductions outside of its native range and has become naturalized throughout tropical and subtropical regions (1)(2).
"Spathoglottis plicata, commonly known as the Philippine Ground Orchid, is widely distributed in South East Asia and has escaped cultivation to become naturalized throughout the Caribbean, Florida, and Hawaii (1)."</t>
  </si>
  <si>
    <t>(1) https://goorchids.northamericanorchidcenter.org/species/spathoglottis/plicata/
(2) https://www.pbs.org/wgbh/nova/orchid/gall_12.html</t>
  </si>
  <si>
    <t>Naturalized beyond native range</t>
  </si>
  <si>
    <t>Garden/amenity/disturbance weed</t>
  </si>
  <si>
    <t>Taxon grows well in disturbed areas (1)(2).
"S. plicata was among the first plants to recolonize the land around Mt. Krakatoa after this mighty volcano exploded in 1883 and decimated the Indonesian island of Krakatau (1)."</t>
  </si>
  <si>
    <t>(1) https://www.pbs.org/wgbh/nova/orchid/gall_12.html
(2) https://fsus.ncbg.unc.edu/main.php?pg=show-taxon.php&amp;plantname=Spathoglottis+plicata</t>
  </si>
  <si>
    <t>Weed of agriculture</t>
  </si>
  <si>
    <t>Environmental weed</t>
  </si>
  <si>
    <t>Congeneric weed</t>
  </si>
  <si>
    <t>?</t>
  </si>
  <si>
    <t>(1) https://plantpono.org/wp-content/uploads/Spathoglottis-unguiculata.pdf</t>
  </si>
  <si>
    <t>Produces spines, thorns or burrs</t>
  </si>
  <si>
    <t>Allelopathic</t>
  </si>
  <si>
    <t>Parasitic</t>
  </si>
  <si>
    <t>Unpalatable to grazing animals</t>
  </si>
  <si>
    <t>Toxic to animals</t>
  </si>
  <si>
    <t>Host for recognised pests and pathogens</t>
  </si>
  <si>
    <t>Taxon is vulnerable to common pest pathogens (1)(2)(3).
"Common pests of the philippine ground orchid include Spider mites, thrips (2)."</t>
  </si>
  <si>
    <t>(1) Recart, W., Ackerman, J.D. &amp; Cuevas, A.A. There goes the neighborhood: apparent competition between invasive and native orchids mediated by a specialist florivorous weevil. Biol Invasions 15, 283–293 (2013). https://doi.org/10.1007/s10530-012-0283-0
(2) https://plantiary.com/plant/spathoglottis-plicata_6151.html
(3) https://everydayorchids.com/spathoglottis-orchids-care-guide-2112r/</t>
  </si>
  <si>
    <t>Causes allergies or is otherwise toxic to humans</t>
  </si>
  <si>
    <t>Creates a fire hazard in natural ecosystems</t>
  </si>
  <si>
    <t>"Fire: The habitat where the native species of Spathoglottis grow is usually too wet to burn. If fire does occur the plants will usually be destroyed (1)."</t>
  </si>
  <si>
    <t>(1) https://www.anbg.gov.au/cpbr/cd-keys/RFKOrchids/key/rfkorchids/Media/Html/genera/Spathoglottis.htm</t>
  </si>
  <si>
    <t>Is a shade tolerant plant at some stage of its life cycle</t>
  </si>
  <si>
    <t>Taxon tolerates shade well (1)(2).
"Recommendations for sun exposure vary from full-sun to full-shade, but most agree that partial-shade is acceptable and best for our area (1)."</t>
  </si>
  <si>
    <t>Grows on infertile soils (oligotrophic, limerock, or excessively draining soils).  North &amp; Central Zones: infertile soils; South Zone: shallow limerock or Histisols.</t>
  </si>
  <si>
    <t>Taxon grows best in nutrient-rich soil (1).
"Make sure that you enrich the soil with organic matter prior to planting to accommodate the well-developed root system (1)."</t>
  </si>
  <si>
    <t>(1) https://blogs.ifas.ufl.edu/charlotteco/2024/02/12/spathoglottis-a-beautiful-terrestrial-orchid/</t>
  </si>
  <si>
    <t>Climbing or smothering growth habit</t>
  </si>
  <si>
    <t>Forms dense thickets</t>
  </si>
  <si>
    <t>Aquatic</t>
  </si>
  <si>
    <t>Taxon is a terrestrial plant (1).
"Spathoglottis, commonly known as ground or purple orchids, are tropical, terrestrial plants with vivid, grass-like foliage and jewel-toned flowers that bloom over a long season (1)."</t>
  </si>
  <si>
    <t>(1) https://gardenerspath.com/plants/flowers/grow-spathoglottis-orchids/#:~:text=Water.%20Spathoglottis%20like%20their%20soil%20to%20remain,dry%20out%20completely%20will%20stress%20the%20plant.</t>
  </si>
  <si>
    <t>Grass</t>
  </si>
  <si>
    <t>Not of the Poaceae family.</t>
  </si>
  <si>
    <t>Nitrogen fixing woody plant</t>
  </si>
  <si>
    <t>Geophyte</t>
  </si>
  <si>
    <t>Taxon grows nutrient storage organs called pseudobulbs (1)(2).
"Over time, large clumps can develop complete with pseudobulbs (swollen, above ground storage organs) and underground stems (1)."
"They [Spathoglottis spp.] all have pseudobulbs aboveground, fibrous roots underground, and fleshy, pleated leaves (2)."</t>
  </si>
  <si>
    <t>(1) https://blogs.ifas.ufl.edu/charlotteco/2024/02/12/spathoglottis-a-beautiful-terrestrial-orchid/
(2) https://gardenerspath.com/plants/flowers/grow-spathoglottis-orchids/#:~:text=Water.%20Spathoglottis%20like%20their%20soil%20to%20remain,dry%20out%20completely%20will%20stress%20the%20plant.</t>
  </si>
  <si>
    <t>Evidence of substantial reproductive failure in native habitat</t>
  </si>
  <si>
    <t>Taxon has a broad native range where it grows easily, but is listed as vulnerable in Australia (1)(2)(3). 
Conservation efforts have increase taxon population in Taiwan (2).</t>
  </si>
  <si>
    <t>(1) https://www.environment.gov.au/biodiversity/threatened/species/pubs/19694-conservation-advice.pdf
(2) https://www.taiwan-panorama.com/en/Articles/Details?Guid=a5abd227-26d6-471e-b9a5-a96fdd2789e4&amp;CatId=10&amp;postname=Taiwan%E2%80%99s%20Natural%20Treasures%20-Getting%20Citizens%20Involved%20%20in%20Preserving%20Biodiversity
(3) https://www.cabidigitallibrary.org/doi/full/10.1079/cabicompendium.117275</t>
  </si>
  <si>
    <t>Produces viable seed</t>
  </si>
  <si>
    <t>Taxon reproduces via seed (1)(2).
"Propagated by seeds, division, and tissue culture (1)."</t>
  </si>
  <si>
    <t>(1) https://www.socfindoconservation.co.id/plant/695?lang=en
(2) https://www.stuartxchange.org/PhilippineGroundOrchid</t>
  </si>
  <si>
    <t>Hybridizes naturally</t>
  </si>
  <si>
    <t>Unknown.
"The genus Spathoglottis comprises around 50 different species (49 species and 1 natural hybrid), each with its own distinct characteristics and beauty (1)."</t>
  </si>
  <si>
    <t>(1) https://orchideria.com/spathoglottis-orchids-complete-care-guide/</t>
  </si>
  <si>
    <t>Self-compatible or apomictic</t>
  </si>
  <si>
    <t>Requires specialist pollinators</t>
  </si>
  <si>
    <t>Taxon attracts and is pollinated by a variety of insects (1)(2).</t>
  </si>
  <si>
    <t>(1) https://www.anbg.gov.au/cpbr/cd-keys/RFKOrchids/key/rfkorchids/Media/Html/genera/Spathoglottis.htm
(2) https://smartyplantsnursery.com/product/purple-ground-orchid-spathoglottis-plicata/</t>
  </si>
  <si>
    <t>Reproduction by vegetative propagation</t>
  </si>
  <si>
    <t>Taxon can reproduce vegetatively (1)(2).
"Over time, large clumps can develop complete with pseudobulbs (swollen, above ground storage organs) and underground stems.  These clumps can be easily divided to propagate new plants (1)."
"... fruits produce thousands of minute dust-like seeds that are mainly wind-dispersed. In addition, the species is dispersed by division of the rhizomes (2)."</t>
  </si>
  <si>
    <t xml:space="preserve">(1) https://blogs.ifas.ufl.edu/charlotteco/2024/02/12/spathoglottis-a-beautiful-terrestrial-orchid/
(2) https://www.somemagneticislandplants.com.au/ground-orchid
</t>
  </si>
  <si>
    <t>Minimum generative time (years)</t>
  </si>
  <si>
    <t>1 or fewer</t>
  </si>
  <si>
    <t>Mature fruits are produced in as little as 30 days after pollination (1)(2).</t>
  </si>
  <si>
    <t>(1) https://www.thaiscience.info/journals/Article/TNAH/10973261.pdf
(2) https://www.anbg.gov.au/cpbr/cd-keys/RFKOrchids/key/rfkorchids/Media/Html/genera/Spathoglottis.htm</t>
  </si>
  <si>
    <t>Propagules likely to be dispersed unintentionally (plants growing in heavily trafficked areas)</t>
  </si>
  <si>
    <t>Taxon produces a huge number of miniscule seeds that can be unintentionally dispersed and is commonly found growing in disturbed areas such as roads and pastures (1)(2)(3).</t>
  </si>
  <si>
    <t>(1) https://fsus.ncbg.unc.edu/main.php?pg=show-taxon.php&amp;plantname=Spathoglottis+plicata
(2) https://smartyplantsnursery.com/product/purple-ground-orchid-spathoglottis-plicata/
(3) https://www.cabidigitallibrary.org/doi/full/10.1079/cabicompendium.117275</t>
  </si>
  <si>
    <t>Propagules dispersed intentionally by people</t>
  </si>
  <si>
    <t>Taxon is commonly cultivated and sold as an ornamental plant (1)(2).
"It is commonly cultivated as an ornamental and currently its distribution includes Southern India, Southern China, Southern Japan, Indo-China, Myanmar, Thailand, Peninsular Malaysia, Singapore, Sumatra, Java, Borneo, Philippines, throughout Indonesia to Australia and the Pacific Islands. This species is still sold in the nursery and landscape trade in many countries around the world and it is also available to the public through internet sites (1)."</t>
  </si>
  <si>
    <t>(1) https://www.socfindoconservation.co.id/plant/695?lang=en
(2) https://www.nparks.gov.sg/florafaunaweb/flora/2/4/2468</t>
  </si>
  <si>
    <t>Propagules likely to disperse as a produce contaminant</t>
  </si>
  <si>
    <t>Propagules adapted to wind dispersal</t>
  </si>
  <si>
    <t>Taxon is wind-dispersed (1)(2).
"After the flower is fertilized, the seeds take about six weeks to develop. When ripe, the capsule splits open and thousands of tiny seeds are carried away by wind (1)."</t>
  </si>
  <si>
    <t>(1) https://www.stuartxchange.org/PhilippineGroundOrchid
(2) https://www.somemagneticislandplants.com.au/ground-orchid</t>
  </si>
  <si>
    <t>Propagules water dispersed</t>
  </si>
  <si>
    <t>Propagules bird dispersed</t>
  </si>
  <si>
    <t>Propagules dispersed by other animals (externally)</t>
  </si>
  <si>
    <t>Propagules dispersed by other animals (internally)</t>
  </si>
  <si>
    <t>Prolific seed production</t>
  </si>
  <si>
    <t>Taxon produces huge quantities of seeds (1)(2).
"... fruits produce thousands of minute dust-like seeds that are mainly wind-dispersed. In addition, the species is dispersed by division of the rhizomes (1)."</t>
  </si>
  <si>
    <t>(1) https://www.somemagneticislandplants.com.au/ground-orchid
(2) https://www.cabidigitallibrary.org/doi/full/10.1079/cabicompendium.117275</t>
  </si>
  <si>
    <t>Evidence that a persistent propagule bank is formed (&gt;1 yr)</t>
  </si>
  <si>
    <t xml:space="preserve">Unknown (1). </t>
  </si>
  <si>
    <t>(1) http://www.hear.org/pier/wra/pacific/Spathoglottis_plicata_PMC.pdf</t>
  </si>
  <si>
    <t>Well controlled by herbicides</t>
  </si>
  <si>
    <t>Tolerates, or benefits from, mutilation or cultivation</t>
  </si>
  <si>
    <t>Taxon can reproduce vegetatively, be cut, and be pruned relatively regularly (1)(2)(3).
"Tolerates, or benefits from, cultivation, browsing pressure, mutilation, fire etc (1)."
"Over time, large clumps can develop complete with pseudobulbs (swollen, above ground storage organs) and underground stems.  These clumps can be easily divided to propagate new plants (2)."</t>
  </si>
  <si>
    <t>(1) https://www.cabidigitallibrary.org/doi/full/10.1079/cabicompendium.117275
(2) https://blogs.ifas.ufl.edu/charlotteco/2024/02/12/spathoglottis-a-beautiful-terrestrial-orchid/
(3) https://greg.app/how-to-prune-philippine-ground-orchid/</t>
  </si>
  <si>
    <t>Effective natural enemies present in U.S.</t>
  </si>
  <si>
    <t>Taxon is vulnerable to common pest pathogens present in the U.S. (1)(2).
"Common pests of the philippine ground orchid include Spider mites, thrips (1)."</t>
  </si>
  <si>
    <t>(1) https://plantiary.com/plant/spathoglottis-plicata_6151.html
(2) https://everydayorchids.com/spathoglottis-orchids-care-guide-2112r/</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</si>
  <si>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</si>
  <si>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</si>
  <si>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</si>
  <si>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</si>
  <si>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</si>
  <si>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</si>
  <si>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</si>
  <si>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</si>
  <si>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</si>
  <si>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</si>
  <si>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</si>
  <si>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</si>
  <si>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</si>
  <si>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</si>
  <si>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</si>
  <si>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</si>
  <si>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</si>
  <si>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</si>
  <si>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</si>
  <si>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</si>
  <si>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</si>
  <si>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</si>
  <si>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</si>
  <si>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</si>
  <si>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</si>
  <si>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</si>
  <si>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</si>
  <si>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</si>
  <si>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</si>
  <si>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</si>
  <si>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</si>
  <si>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</si>
  <si>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</si>
  <si>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</si>
  <si>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</si>
  <si>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</si>
  <si>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</si>
  <si>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</si>
  <si>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</si>
  <si>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</si>
  <si>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</si>
  <si>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</si>
  <si>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</si>
  <si>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</si>
  <si>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</si>
  <si>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</si>
  <si>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</si>
  <si>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</si>
  <si>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</si>
  <si>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</si>
  <si>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</si>
  <si>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</si>
  <si>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</si>
  <si>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</si>
  <si>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</si>
  <si>
    <t>"The conservation status for Spathoglottis plicata has not been determined, but it is listed as an environmental weed in Hawaii that can be invasive in sensitive habitats (1)."
Shown to spread quickly and negatively affect native orchids in Puerto Rico (2). Listed as behaving invasive in natural areas in Puerto Rico and the Bahamas (3).</t>
  </si>
  <si>
    <t>(1) https://goorchids.northamericanorchidcenter.org/species/spathoglottis/plicata/
(2) Recart, W., Ackerman, J. D., &amp; Cuevas, A. A. (2013). There goes the neighborhood: apparent competition between invasive and native orchids mediated by a specialist florivorous weevil. Biological Invasions, 15(2), 283-293. (3) Laginhas, B. B., Bradley, B. A., &amp; Bradley, B. (2020). Global Plant Invaders: a compendium of invasive plant taxa documented by the peer-reviwed literature.</t>
  </si>
  <si>
    <t>Spathoglottis unguiculata is listed as a plant with invaisive traits (1). Not enough supporting evidence found.</t>
  </si>
  <si>
    <t>Taxon has a history of repeated introductions outside of its native range and has become naturalized throughout tropical and subtropical regions (1)(2).
"Spathoglottis plicata, commonly known as the Philippine Ground Orchid, is widely distributed in South East Asia and has escaped cultivation to become naturalized throughout the Caribbean, Florida, and Hawaii (1)." Native to tropical Asia and Oceania. Introduced to the Caribbean, Hawaii, and Florida (3)</t>
  </si>
  <si>
    <t>(1) https://blogs.ifas.ufl.edu/charlotteco/2024/02/12/spathoglottis-a-beautiful-terrestrial-orchid/
(2) https://www.socfindoconservation.co.id/plant/695?lang=en (3) https://powo.science.kew.org/taxon/urn:lsid:ipni.org:names:658073-1#synonyms</t>
  </si>
  <si>
    <t>Taxon is known to be self-pollinating (1)(2). "Plants that have escaped cultivation are the self-ppollinating forms so the absence of pollinators is not a problem" (3)</t>
  </si>
  <si>
    <t>(1) https://goorchids.northamericanorchidcenter.org/species/spathoglottis/plicata/
(2) https://www.gardensbythebay.com.sg/en/learn-with-us/explore-resources/whats-blooming/common-spathoglottis.html (3) Ackerman, J. D., Falcón, W., Molinari, J., Vega, C., Espino, I., &amp; Cuevas, A. A. (2014). Biotic resistance and invasional meltdown: consequences of acquired interspecific interactions for an invasive orchid, Spathoglottis plicata in Puerto Rico. Biological invasions, 16(11), 2435-2447.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</si>
</sst>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0"/>
      <color theme="1"/>
      <name val="Calibri"/>
      <family val="2"/>
    </font>
    <font>
      <b/>
      <sz val="11"/>
      <color rgb="FFFF0000"/>
      <name val="Calibri"/>
      <family val="2"/>
      <scheme val="minor"/>
    </font>
    <font>
      <sz val="11"/>
      <color rgb="FF000000"/>
      <name val="Calibri"/>
    </font>
    <font>
      <sz val="11"/>
      <color rgb="FFFF0000"/>
      <name val="Calibri"/>
    </font>
    <font>
      <sz val="11"/>
      <color theme="1"/>
      <name val="Calibri"/>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5">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5" fillId="6" borderId="0" xfId="0" applyFont="1" applyFill="1" applyProtection="1">
      <protection locked="0"/>
    </xf>
    <xf numFmtId="0" fontId="25" fillId="6" borderId="0" xfId="0" applyFont="1" applyFill="1" applyAlignment="1" applyProtection="1">
      <alignment wrapText="1"/>
      <protection locked="0"/>
    </xf>
    <xf numFmtId="0" fontId="26" fillId="0" borderId="0" xfId="0" applyFont="1" applyAlignment="1" applyProtection="1">
      <alignment horizontal="center" vertical="top" wrapText="1"/>
      <protection locked="0"/>
    </xf>
    <xf numFmtId="0" fontId="29" fillId="0" borderId="0" xfId="0" applyFont="1" applyAlignment="1" applyProtection="1">
      <alignment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xf numFmtId="0" fontId="0" fillId="0" borderId="0" xfId="0"/>
    <xf numFmtId="0" fontId="0" fillId="0" borderId="15" xfId="0" applyBorder="1"/>
    <xf numFmtId="0" fontId="0" fillId="0" borderId="14" xfId="0" applyBorder="1" applyAlignment="1">
      <alignment horizontal="left" vertical="top"/>
    </xf>
    <xf numFmtId="0" fontId="0" fillId="0" borderId="0" xfId="0" applyAlignment="1">
      <alignment horizontal="left" vertical="top"/>
    </xf>
    <xf numFmtId="0" fontId="0" fillId="0" borderId="14" xfId="0" applyBorder="1" applyAlignment="1">
      <alignmen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3" xfId="0" applyBorder="1"/>
    <xf numFmtId="0" fontId="0" fillId="0" borderId="16" xfId="0" applyBorder="1"/>
    <xf numFmtId="0" fontId="0" fillId="0" borderId="20" xfId="0" applyBorder="1"/>
    <xf numFmtId="0" fontId="0" fillId="0" borderId="21" xfId="0" applyBorder="1"/>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topLeftCell="A48" zoomScale="125" zoomScaleNormal="125" workbookViewId="0">
      <pane xSplit="1" topLeftCell="B1" activePane="topRight" state="frozen"/>
      <selection pane="topRight" activeCell="F51" sqref="F51"/>
    </sheetView>
  </sheetViews>
  <sheetFormatPr baseColWidth="10" defaultColWidth="9.1640625" defaultRowHeight="15" x14ac:dyDescent="0.2"/>
  <cols>
    <col min="1" max="1" width="9" style="58" customWidth="1"/>
    <col min="2" max="2" width="45.5" style="58" customWidth="1"/>
    <col min="3" max="3" width="12.5" style="58" customWidth="1"/>
    <col min="4" max="4" width="9.5" style="58" bestFit="1" customWidth="1"/>
    <col min="5" max="5" width="12.33203125" style="65" hidden="1" customWidth="1"/>
    <col min="6" max="6" width="61.5" style="58" customWidth="1"/>
    <col min="7" max="7" width="43.33203125" style="58" customWidth="1"/>
    <col min="8" max="8" width="27.1640625" style="85" customWidth="1"/>
    <col min="9" max="16384" width="9.1640625" style="58"/>
  </cols>
  <sheetData>
    <row r="1" spans="1:8" ht="30" customHeight="1" x14ac:dyDescent="0.2">
      <c r="A1" s="27" t="s">
        <v>0</v>
      </c>
      <c r="B1" s="85" t="s">
        <v>1</v>
      </c>
      <c r="C1" s="56"/>
      <c r="D1" s="56"/>
      <c r="E1" s="57"/>
      <c r="F1" s="103" t="s">
        <v>2</v>
      </c>
      <c r="G1" s="56"/>
    </row>
    <row r="2" spans="1:8" s="17" customFormat="1" ht="30.75" customHeight="1" x14ac:dyDescent="0.2">
      <c r="A2" s="18" t="s">
        <v>3</v>
      </c>
      <c r="B2" s="18" t="s">
        <v>4</v>
      </c>
      <c r="C2" s="18" t="s">
        <v>5</v>
      </c>
      <c r="D2" s="18" t="s">
        <v>6</v>
      </c>
      <c r="E2" s="88" t="s">
        <v>7</v>
      </c>
      <c r="F2" s="18" t="s">
        <v>8</v>
      </c>
      <c r="G2" s="18" t="s">
        <v>9</v>
      </c>
      <c r="H2" s="102"/>
    </row>
    <row r="3" spans="1:8" ht="16" x14ac:dyDescent="0.2">
      <c r="A3" s="66">
        <v>1.01</v>
      </c>
      <c r="B3" s="67" t="s">
        <v>10</v>
      </c>
      <c r="C3" s="56" t="s">
        <v>11</v>
      </c>
      <c r="D3" s="59">
        <f>IF(C3="Y",-3,IF(C3="N",0," "))</f>
        <v>0</v>
      </c>
      <c r="E3" s="57"/>
      <c r="F3" s="99" t="s">
        <v>12</v>
      </c>
      <c r="G3" s="64"/>
    </row>
    <row r="4" spans="1:8" ht="16" x14ac:dyDescent="0.2">
      <c r="A4" s="66">
        <v>1.02</v>
      </c>
      <c r="B4" s="67" t="s">
        <v>13</v>
      </c>
      <c r="C4" s="56"/>
      <c r="D4" s="59" t="str">
        <f>IF(C4="n",VLOOKUP(LUT!C5,LUT!C4:E52,2),IF(C4="y",VLOOKUP(LUT!C5,LUT!C4:E52,3)," "))</f>
        <v xml:space="preserve"> </v>
      </c>
      <c r="E4" s="57"/>
      <c r="F4" s="64"/>
      <c r="G4" s="64"/>
    </row>
    <row r="5" spans="1:8" ht="16" x14ac:dyDescent="0.2">
      <c r="A5" s="66">
        <v>1.03</v>
      </c>
      <c r="B5" s="67" t="s">
        <v>14</v>
      </c>
      <c r="C5" s="56"/>
      <c r="D5" s="59" t="str">
        <f>IF(C5="Y",1,IF(C5="N",-1," "))</f>
        <v xml:space="preserve"> </v>
      </c>
      <c r="E5" s="57"/>
      <c r="F5" s="64"/>
      <c r="G5" s="64"/>
    </row>
    <row r="6" spans="1:8" ht="80" x14ac:dyDescent="0.2">
      <c r="A6" s="66">
        <v>2.0099999999999998</v>
      </c>
      <c r="B6" s="67" t="s">
        <v>15</v>
      </c>
      <c r="C6" s="56">
        <v>3</v>
      </c>
      <c r="D6" s="60"/>
      <c r="E6" s="57"/>
      <c r="F6" s="99" t="s">
        <v>16</v>
      </c>
      <c r="G6" s="64" t="s">
        <v>17</v>
      </c>
    </row>
    <row r="7" spans="1:8" ht="32" x14ac:dyDescent="0.2">
      <c r="A7" s="66">
        <v>2.02</v>
      </c>
      <c r="B7" s="67" t="s">
        <v>18</v>
      </c>
      <c r="C7" s="56">
        <v>3</v>
      </c>
      <c r="D7" s="60"/>
      <c r="E7" s="57"/>
      <c r="F7" s="64" t="s">
        <v>17</v>
      </c>
      <c r="G7" s="64"/>
    </row>
    <row r="8" spans="1:8" ht="29" x14ac:dyDescent="0.2">
      <c r="A8" s="66">
        <v>2.0299999999999998</v>
      </c>
      <c r="B8" s="67" t="s">
        <v>19</v>
      </c>
      <c r="C8" s="56" t="s">
        <v>11</v>
      </c>
      <c r="D8" s="59">
        <f>IF(C8="y",1,IF(C8="n",0," "))</f>
        <v>0</v>
      </c>
      <c r="E8" s="57"/>
      <c r="F8" s="99" t="s">
        <v>20</v>
      </c>
      <c r="G8" s="99"/>
    </row>
    <row r="9" spans="1:8" ht="133.5" customHeight="1" x14ac:dyDescent="0.2">
      <c r="A9" s="66">
        <v>2.04</v>
      </c>
      <c r="B9" s="67" t="s">
        <v>21</v>
      </c>
      <c r="C9" s="56" t="s">
        <v>11</v>
      </c>
      <c r="D9" s="59">
        <f>IF(C9="y",1,IF(C9="n",0," "))</f>
        <v>0</v>
      </c>
      <c r="E9" s="57"/>
      <c r="F9" s="99" t="s">
        <v>22</v>
      </c>
      <c r="G9" s="99" t="s">
        <v>171</v>
      </c>
    </row>
    <row r="10" spans="1:8" ht="96" x14ac:dyDescent="0.2">
      <c r="A10" s="66">
        <v>2.0499999999999998</v>
      </c>
      <c r="B10" s="67" t="s">
        <v>24</v>
      </c>
      <c r="C10" s="56" t="s">
        <v>25</v>
      </c>
      <c r="D10" s="60"/>
      <c r="E10" s="57"/>
      <c r="F10" s="56" t="s">
        <v>170</v>
      </c>
      <c r="G10" s="56" t="s">
        <v>27</v>
      </c>
    </row>
    <row r="11" spans="1:8" ht="96" x14ac:dyDescent="0.2">
      <c r="A11" s="66">
        <v>3.01</v>
      </c>
      <c r="B11" s="67" t="s">
        <v>28</v>
      </c>
      <c r="C11" s="56" t="s">
        <v>25</v>
      </c>
      <c r="D11" s="59">
        <f>IF(C11="n",LOOKUP($C$10,LUT!$I$13:$L$13,LUT!$I$14:$L$14),IF(AND(C11="y",AND($C$6=1,$C$7=1)),2,IF(AND(C11="y",AND($C$6=1,$C$7=2)),1,IF(AND(C11="y",AND($C$6=1,$C$7=3)),1,IF(AND(C11="y",AND($C$6=2,$C$7=1)),2,IF(AND(C11="y",AND($C$6=2,$C$7=2)),2,IF(AND(C11="y",AND($C$6=2,$C$7=3)),1,IF(AND(C11="y",AND($C$6=3,$C$7=1)),2,IF(AND(C11="y",AND($C$6=3,$C$7=2)),2,IF(AND(C11="y",AND($C$6=3,$C$7=3)),2,""))))))))))</f>
        <v>2</v>
      </c>
      <c r="E11" s="57"/>
      <c r="F11" s="56" t="s">
        <v>26</v>
      </c>
      <c r="G11" s="56" t="s">
        <v>27</v>
      </c>
    </row>
    <row r="12" spans="1:8" ht="80" x14ac:dyDescent="0.2">
      <c r="A12" s="66">
        <v>3.02</v>
      </c>
      <c r="B12" s="67" t="s">
        <v>29</v>
      </c>
      <c r="C12" s="56" t="s">
        <v>25</v>
      </c>
      <c r="D12" s="59">
        <f>IF(C12="n",LOOKUP($C$10,LUT!$I$13:$L$13,LUT!$I$15:$L$15),IF(AND(C12="y",AND($C$6=1,$C$7=1)),2,IF(AND(C12="y",AND($C$6=1,$C$7=2)),1,IF(AND(C12="y",AND($C$6=1,$C$7=3)),1,IF(AND(C12="y",AND($C$6=2,$C$7=1)),2,IF(AND(C12="y",AND($C$6=2,$C$7=2)),2,IF(AND(C12="y",AND($C$6=2,$C$7=3)),1,IF(AND(C12="y",AND($C$6=3,$C$7=1)),2,IF(AND(C12="y",AND($C$6=3,$C$7=2)),2,IF(AND(C12="y",AND($C$6=3,$C$7=3)),2,""))))))))))</f>
        <v>2</v>
      </c>
      <c r="E12" s="57"/>
      <c r="F12" s="101" t="s">
        <v>30</v>
      </c>
      <c r="G12" s="56" t="s">
        <v>31</v>
      </c>
    </row>
    <row r="13" spans="1:8" ht="16" x14ac:dyDescent="0.2">
      <c r="A13" s="66">
        <v>3.03</v>
      </c>
      <c r="B13" s="67" t="s">
        <v>32</v>
      </c>
      <c r="C13" s="56" t="s">
        <v>11</v>
      </c>
      <c r="D13" s="59">
        <f>IF(C13="n",LOOKUP($C$10,LUT!$I$13:$L$13,LUT!$I$15:$L$15),IF(AND(C13="y",AND($C$6=1,$C$7=1)),4,IF(AND(C13="y",AND($C$6=1,$C$7=2)),2,IF(AND(C13="y",AND($C$6=1,$C$7=3)),1,IF(AND(C13="y",AND($C$6=2,$C$7=1)),4,IF(AND(C13="y",AND($C$6=2,$C$7=2)),3,IF(AND(C13="y",AND($C$6=2,$C$7=3)),2,IF(AND(C13="y",AND($C$6=3,$C$7=1)),4,IF(AND(C13="y",AND($C$6=3,$C$7=2)),4,IF(AND(C13="y",AND($C$6=3,$C$7=3)),4,""))))))))))</f>
        <v>0</v>
      </c>
      <c r="E13" s="57"/>
      <c r="F13" s="100" t="s">
        <v>12</v>
      </c>
      <c r="G13" s="64"/>
    </row>
    <row r="14" spans="1:8" ht="192" x14ac:dyDescent="0.2">
      <c r="A14" s="66">
        <v>3.04</v>
      </c>
      <c r="B14" s="67" t="s">
        <v>33</v>
      </c>
      <c r="C14" s="56" t="s">
        <v>25</v>
      </c>
      <c r="D14" s="59">
        <f>IF(C14="n",LOOKUP($C$10,LUT!$I$13:$L$13,LUT!$I$15:$L$15),IF(AND(C14="y",AND($C$6=1,$C$7=1)),4,IF(AND(C14="y",AND($C$6=1,$C$7=2)),2,IF(AND(C14="y",AND($C$6=1,$C$7=3)),1,IF(AND(C14="y",AND($C$6=2,$C$7=1)),4,IF(AND(C14="y",AND($C$6=2,$C$7=2)),3,IF(AND(C14="y",AND($C$6=2,$C$7=3)),2,IF(AND(C14="y",AND($C$6=3,$C$7=1)),4,IF(AND(C14="y",AND($C$6=3,$C$7=2)),4,IF(AND(C14="y",AND($C$6=3,$C$7=3)),4,""))))))))))</f>
        <v>4</v>
      </c>
      <c r="E14" s="57"/>
      <c r="F14" s="64" t="s">
        <v>167</v>
      </c>
      <c r="G14" s="64" t="s">
        <v>168</v>
      </c>
    </row>
    <row r="15" spans="1:8" ht="32" x14ac:dyDescent="0.2">
      <c r="A15" s="66">
        <v>3.05</v>
      </c>
      <c r="B15" s="67" t="s">
        <v>34</v>
      </c>
      <c r="C15" s="56" t="s">
        <v>35</v>
      </c>
      <c r="D15" s="59" t="str">
        <f>IF(C15="n",LOOKUP($C$10,LUT!$I$13:$L$13,LUT!$I$15:$L$15),IF(AND(C15="y",AND($C$6=1,$C$7=1)),2,IF(AND(C15="y",AND($C$6=1,$C$7=2)),1,IF(AND(C15="y",AND($C$6=1,$C$7=3)),1,IF(AND(C15="y",AND($C$6=2,$C$7=1)),2,IF(AND(C15="y",AND($C$6=2,$C$7=2)),2,IF(AND(C15="y",AND($C$6=2,$C$7=3)),1,IF(AND(C15="y",AND($C$6=3,$C$7=1)),2,IF(AND(C15="y",AND($C$6=3,$C$7=2)),2,IF(AND(C15="y",AND($C$6=3,$C$7=3)),2,""))))))))))</f>
        <v/>
      </c>
      <c r="E15" s="57"/>
      <c r="F15" s="64" t="s">
        <v>169</v>
      </c>
      <c r="G15" s="64" t="s">
        <v>36</v>
      </c>
    </row>
    <row r="16" spans="1:8" ht="16" x14ac:dyDescent="0.2">
      <c r="A16" s="66">
        <v>4.01</v>
      </c>
      <c r="B16" s="67" t="s">
        <v>37</v>
      </c>
      <c r="C16" s="56" t="s">
        <v>11</v>
      </c>
      <c r="D16" s="59">
        <f>IF(C16="y",VLOOKUP(LUT!C17,LUT!$C$4:$E$52,3),IF(C16="n",VLOOKUP(LUT!C17,LUT!$C$4:$E$52,2)," "))</f>
        <v>0</v>
      </c>
      <c r="E16" s="57"/>
      <c r="F16" s="64" t="s">
        <v>12</v>
      </c>
      <c r="G16" s="64"/>
    </row>
    <row r="17" spans="1:7" ht="16" x14ac:dyDescent="0.2">
      <c r="A17" s="66">
        <v>4.0199999999999996</v>
      </c>
      <c r="B17" s="67" t="s">
        <v>38</v>
      </c>
      <c r="C17" s="56" t="s">
        <v>11</v>
      </c>
      <c r="D17" s="59">
        <f>IF(C17="y",VLOOKUP(LUT!C18,LUT!C4:E52,3),IF(C17="n",VLOOKUP(LUT!C18,LUT!C4:E52,2)," "))</f>
        <v>0</v>
      </c>
      <c r="E17" s="57"/>
      <c r="F17" s="64" t="s">
        <v>12</v>
      </c>
      <c r="G17" s="64"/>
    </row>
    <row r="18" spans="1:7" ht="16" x14ac:dyDescent="0.2">
      <c r="A18" s="66">
        <v>4.03</v>
      </c>
      <c r="B18" s="67" t="s">
        <v>39</v>
      </c>
      <c r="C18" s="56" t="s">
        <v>11</v>
      </c>
      <c r="D18" s="59">
        <f>IF(C18="y",VLOOKUP(LUT!C19,LUT!$C$4:$E$52,3),IF(C18="n",VLOOKUP(LUT!C19,LUT!$C$4:$E$52,2)," "))</f>
        <v>0</v>
      </c>
      <c r="E18" s="57"/>
      <c r="F18" s="64" t="s">
        <v>12</v>
      </c>
      <c r="G18" s="64"/>
    </row>
    <row r="19" spans="1:7" ht="16" x14ac:dyDescent="0.2">
      <c r="A19" s="66">
        <v>4.04</v>
      </c>
      <c r="B19" s="67" t="s">
        <v>40</v>
      </c>
      <c r="C19" s="56" t="s">
        <v>35</v>
      </c>
      <c r="D19" s="59" t="str">
        <f>IF(C19="y",VLOOKUP(LUT!C20,LUT!$C$4:$E$52,3),IF(C19="n",VLOOKUP(LUT!C20,LUT!$C$4:$E$52,2)," "))</f>
        <v xml:space="preserve"> </v>
      </c>
      <c r="E19" s="57"/>
      <c r="F19" s="64" t="s">
        <v>12</v>
      </c>
      <c r="G19" s="64"/>
    </row>
    <row r="20" spans="1:7" ht="16" x14ac:dyDescent="0.2">
      <c r="A20" s="66">
        <v>4.05</v>
      </c>
      <c r="B20" s="67" t="s">
        <v>41</v>
      </c>
      <c r="C20" s="56" t="s">
        <v>11</v>
      </c>
      <c r="D20" s="59">
        <f>IF(C20="y",VLOOKUP(LUT!C21,LUT!$C$4:$E$52,3),IF(C20="n",VLOOKUP(LUT!C21,LUT!$C$4:$E$52,2)," "))</f>
        <v>0</v>
      </c>
      <c r="E20" s="57"/>
      <c r="F20" s="64" t="s">
        <v>12</v>
      </c>
      <c r="G20" s="64"/>
    </row>
    <row r="21" spans="1:7" ht="192" x14ac:dyDescent="0.2">
      <c r="A21" s="66">
        <v>4.0599999999999996</v>
      </c>
      <c r="B21" s="67" t="s">
        <v>42</v>
      </c>
      <c r="C21" s="56" t="s">
        <v>25</v>
      </c>
      <c r="D21" s="59">
        <f>IF(C21="y",VLOOKUP(LUT!C22,LUT!$C$4:$E$52,3),IF(C21="n",VLOOKUP(LUT!C22,LUT!$C$4:$E$52,2)," "))</f>
        <v>1</v>
      </c>
      <c r="E21" s="57"/>
      <c r="F21" s="64" t="s">
        <v>43</v>
      </c>
      <c r="G21" s="64" t="s">
        <v>44</v>
      </c>
    </row>
    <row r="22" spans="1:7" ht="16" x14ac:dyDescent="0.2">
      <c r="A22" s="66">
        <v>4.07</v>
      </c>
      <c r="B22" s="67" t="s">
        <v>45</v>
      </c>
      <c r="C22" s="56" t="s">
        <v>11</v>
      </c>
      <c r="D22" s="59">
        <f>IF(C22="y",VLOOKUP(LUT!C23,LUT!$C$4:$E$52,3),IF(C22="n",VLOOKUP(LUT!C23,LUT!$C$4:$E$52,2)," "))</f>
        <v>0</v>
      </c>
      <c r="E22" s="57"/>
      <c r="F22" s="64" t="s">
        <v>12</v>
      </c>
      <c r="G22" s="64"/>
    </row>
    <row r="23" spans="1:7" ht="48" x14ac:dyDescent="0.2">
      <c r="A23" s="66">
        <v>4.08</v>
      </c>
      <c r="B23" s="67" t="s">
        <v>46</v>
      </c>
      <c r="C23" s="56" t="s">
        <v>11</v>
      </c>
      <c r="D23" s="59">
        <f>IF(C23="y",VLOOKUP(LUT!C24,LUT!$C$4:$E$52,3),IF(C23="n",VLOOKUP(LUT!C24,LUT!$C$4:$E$52,2)," "))</f>
        <v>0</v>
      </c>
      <c r="E23" s="57"/>
      <c r="F23" s="64" t="s">
        <v>47</v>
      </c>
      <c r="G23" s="64" t="s">
        <v>48</v>
      </c>
    </row>
    <row r="24" spans="1:7" ht="99" x14ac:dyDescent="0.2">
      <c r="A24" s="66">
        <v>4.09</v>
      </c>
      <c r="B24" s="67" t="s">
        <v>49</v>
      </c>
      <c r="C24" s="56" t="s">
        <v>25</v>
      </c>
      <c r="D24" s="59">
        <f>IF(C24="y",VLOOKUP(LUT!C25,LUT!$C$4:$E$52,3),IF(C24="n",VLOOKUP(LUT!C25,LUT!$C$4:$E$52,2)," "))</f>
        <v>1</v>
      </c>
      <c r="E24" s="57"/>
      <c r="F24" s="64" t="s">
        <v>50</v>
      </c>
      <c r="G24" s="99" t="s">
        <v>23</v>
      </c>
    </row>
    <row r="25" spans="1:7" ht="48" x14ac:dyDescent="0.2">
      <c r="A25" s="66">
        <v>4.0999999999999996</v>
      </c>
      <c r="B25" s="68" t="s">
        <v>51</v>
      </c>
      <c r="C25" s="56" t="s">
        <v>11</v>
      </c>
      <c r="D25" s="59">
        <f>IF(C25="y",VLOOKUP(LUT!C26,LUT!$C$4:$E$52,3),IF(C25="n",VLOOKUP(LUT!C26,LUT!$C$4:$E$52,2)," "))</f>
        <v>0</v>
      </c>
      <c r="E25" s="57"/>
      <c r="F25" s="64" t="s">
        <v>52</v>
      </c>
      <c r="G25" s="99" t="s">
        <v>53</v>
      </c>
    </row>
    <row r="26" spans="1:7" ht="16" x14ac:dyDescent="0.2">
      <c r="A26" s="66">
        <v>4.1100000000000003</v>
      </c>
      <c r="B26" s="67" t="s">
        <v>54</v>
      </c>
      <c r="C26" s="56" t="s">
        <v>11</v>
      </c>
      <c r="D26" s="59">
        <f>IF(C26="y",VLOOKUP(LUT!C27,LUT!$C$4:$E$52,3),IF(C26="n",VLOOKUP(LUT!C27,LUT!$C$4:$E$52,2)," "))</f>
        <v>0</v>
      </c>
      <c r="E26" s="57"/>
      <c r="F26" s="64" t="s">
        <v>12</v>
      </c>
      <c r="G26" s="64"/>
    </row>
    <row r="27" spans="1:7" ht="16" x14ac:dyDescent="0.2">
      <c r="A27" s="66">
        <v>4.12</v>
      </c>
      <c r="B27" s="67" t="s">
        <v>55</v>
      </c>
      <c r="C27" s="56" t="s">
        <v>11</v>
      </c>
      <c r="D27" s="59">
        <f>IF(C27="y",VLOOKUP(LUT!C28,LUT!$C$4:$E$52,3),IF(C27="n",VLOOKUP(LUT!C28,LUT!$C$4:$E$52,2)," "))</f>
        <v>0</v>
      </c>
      <c r="E27" s="57"/>
      <c r="F27" s="64" t="s">
        <v>12</v>
      </c>
      <c r="G27" s="64"/>
    </row>
    <row r="28" spans="1:7" ht="80" x14ac:dyDescent="0.2">
      <c r="A28" s="66">
        <v>5.01</v>
      </c>
      <c r="B28" s="67" t="s">
        <v>56</v>
      </c>
      <c r="C28" s="56" t="s">
        <v>11</v>
      </c>
      <c r="D28" s="59">
        <f>IF(C28="y",VLOOKUP(LUT!C29,LUT!$C$4:$E$52,3),IF(C28="n",VLOOKUP(LUT!C29,LUT!$C$4:$E$52,2)," "))</f>
        <v>0</v>
      </c>
      <c r="E28" s="57"/>
      <c r="F28" s="64" t="s">
        <v>57</v>
      </c>
      <c r="G28" s="64" t="s">
        <v>58</v>
      </c>
    </row>
    <row r="29" spans="1:7" ht="16" x14ac:dyDescent="0.2">
      <c r="A29" s="66">
        <v>5.0199999999999996</v>
      </c>
      <c r="B29" s="67" t="s">
        <v>59</v>
      </c>
      <c r="C29" s="56" t="s">
        <v>11</v>
      </c>
      <c r="D29" s="59">
        <f>IF(C29="y",VLOOKUP(LUT!C30,LUT!$C$4:$E$52,3),IF(C29="n",VLOOKUP(LUT!C30,LUT!$C$4:$E$52,2)," "))</f>
        <v>0</v>
      </c>
      <c r="E29" s="57"/>
      <c r="F29" s="64" t="s">
        <v>60</v>
      </c>
      <c r="G29" s="64"/>
    </row>
    <row r="30" spans="1:7" ht="16" x14ac:dyDescent="0.2">
      <c r="A30" s="66">
        <v>5.03</v>
      </c>
      <c r="B30" s="67" t="s">
        <v>61</v>
      </c>
      <c r="C30" s="56" t="s">
        <v>11</v>
      </c>
      <c r="D30" s="59">
        <f>IF(C30="y",VLOOKUP(LUT!C31,LUT!$C$4:$E$52,3),IF(C30="n",VLOOKUP(LUT!C31,LUT!$C$4:$E$52,2)," "))</f>
        <v>0</v>
      </c>
      <c r="E30" s="57"/>
      <c r="F30" s="64" t="s">
        <v>12</v>
      </c>
      <c r="G30" s="64"/>
    </row>
    <row r="31" spans="1:7" ht="127" x14ac:dyDescent="0.2">
      <c r="A31" s="66">
        <v>5.04</v>
      </c>
      <c r="B31" s="67" t="s">
        <v>62</v>
      </c>
      <c r="C31" s="56" t="s">
        <v>25</v>
      </c>
      <c r="D31" s="59">
        <f>IF(C31="y",VLOOKUP(LUT!C32,LUT!$C$4:$E$52,3),IF(C31="n",VLOOKUP(LUT!C32,LUT!$C$4:$E$52,2)," "))</f>
        <v>1</v>
      </c>
      <c r="E31" s="57"/>
      <c r="F31" s="64" t="s">
        <v>63</v>
      </c>
      <c r="G31" s="99" t="s">
        <v>64</v>
      </c>
    </row>
    <row r="32" spans="1:7" ht="240" x14ac:dyDescent="0.2">
      <c r="A32" s="66">
        <v>6.01</v>
      </c>
      <c r="B32" s="67" t="s">
        <v>65</v>
      </c>
      <c r="C32" s="56" t="s">
        <v>35</v>
      </c>
      <c r="D32" s="59" t="str">
        <f>IF(C32="y",VLOOKUP(LUT!C33,LUT!$C$4:$E$52,3),IF(C32="n",VLOOKUP(LUT!C33,LUT!$C$4:$E$52,2)," "))</f>
        <v xml:space="preserve"> </v>
      </c>
      <c r="E32" s="57"/>
      <c r="F32" s="64" t="s">
        <v>66</v>
      </c>
      <c r="G32" s="64" t="s">
        <v>67</v>
      </c>
    </row>
    <row r="33" spans="1:7" ht="112" x14ac:dyDescent="0.2">
      <c r="A33" s="66">
        <v>6.02</v>
      </c>
      <c r="B33" s="67" t="s">
        <v>68</v>
      </c>
      <c r="C33" s="56" t="s">
        <v>25</v>
      </c>
      <c r="D33" s="59">
        <f>IF(C33="y",VLOOKUP(LUT!C34,LUT!$C$4:$E$52,3),IF(C33="n",VLOOKUP(LUT!C34,LUT!$C$4:$E$52,2)," "))</f>
        <v>1</v>
      </c>
      <c r="E33" s="57"/>
      <c r="F33" s="64" t="s">
        <v>69</v>
      </c>
      <c r="G33" s="64" t="s">
        <v>70</v>
      </c>
    </row>
    <row r="34" spans="1:7" ht="48" x14ac:dyDescent="0.2">
      <c r="A34" s="66">
        <v>6.03</v>
      </c>
      <c r="B34" s="67" t="s">
        <v>71</v>
      </c>
      <c r="C34" s="56" t="s">
        <v>35</v>
      </c>
      <c r="D34" s="59" t="str">
        <f>IF(C34="y",VLOOKUP(LUT!C35,LUT!$C$4:$E$52,3),IF(C34="n",VLOOKUP(LUT!C35,LUT!$C$4:$E$52,2)," "))</f>
        <v xml:space="preserve"> </v>
      </c>
      <c r="E34" s="57"/>
      <c r="F34" s="64" t="s">
        <v>72</v>
      </c>
      <c r="G34" s="64" t="s">
        <v>73</v>
      </c>
    </row>
    <row r="35" spans="1:7" ht="192" x14ac:dyDescent="0.2">
      <c r="A35" s="66">
        <v>6.04</v>
      </c>
      <c r="B35" s="67" t="s">
        <v>74</v>
      </c>
      <c r="C35" s="56" t="s">
        <v>25</v>
      </c>
      <c r="D35" s="59">
        <f>IF(C35="y",VLOOKUP(LUT!C36,LUT!$C$4:$E$52,3),IF(C35="n",VLOOKUP(LUT!C36,LUT!$C$4:$E$52,2)," "))</f>
        <v>1</v>
      </c>
      <c r="E35" s="57"/>
      <c r="F35" s="64" t="s">
        <v>172</v>
      </c>
      <c r="G35" s="64" t="s">
        <v>173</v>
      </c>
    </row>
    <row r="36" spans="1:7" ht="96" x14ac:dyDescent="0.2">
      <c r="A36" s="66">
        <v>6.05</v>
      </c>
      <c r="B36" s="67" t="s">
        <v>75</v>
      </c>
      <c r="C36" s="56" t="s">
        <v>11</v>
      </c>
      <c r="D36" s="59">
        <f>IF(C36="y",VLOOKUP(LUT!C37,LUT!$C$4:$E$52,3),IF(C36="n",VLOOKUP(LUT!C37,LUT!$C$4:$E$52,2)," "))</f>
        <v>0</v>
      </c>
      <c r="E36" s="57"/>
      <c r="F36" s="64" t="s">
        <v>76</v>
      </c>
      <c r="G36" s="64" t="s">
        <v>77</v>
      </c>
    </row>
    <row r="37" spans="1:7" ht="113" x14ac:dyDescent="0.2">
      <c r="A37" s="66">
        <v>6.06</v>
      </c>
      <c r="B37" s="67" t="s">
        <v>78</v>
      </c>
      <c r="C37" s="56" t="s">
        <v>25</v>
      </c>
      <c r="D37" s="59">
        <f>IF(C37="y",VLOOKUP(LUT!C38,LUT!$C$4:$E$52,3),IF(C37="n",VLOOKUP(LUT!C38,LUT!$C$4:$E$52,2)," "))</f>
        <v>1</v>
      </c>
      <c r="E37" s="57"/>
      <c r="F37" s="64" t="s">
        <v>79</v>
      </c>
      <c r="G37" s="99" t="s">
        <v>80</v>
      </c>
    </row>
    <row r="38" spans="1:7" ht="112" x14ac:dyDescent="0.2">
      <c r="A38" s="66">
        <v>6.07</v>
      </c>
      <c r="B38" s="67" t="s">
        <v>81</v>
      </c>
      <c r="C38" s="84" t="s">
        <v>82</v>
      </c>
      <c r="D38" s="59">
        <f>IF(C38="1 or fewer",1,IF(C38="2 or 3",0,IF(C38&gt;="4 or more",-1," ")))</f>
        <v>1</v>
      </c>
      <c r="E38" s="57"/>
      <c r="F38" s="64" t="s">
        <v>83</v>
      </c>
      <c r="G38" s="64" t="s">
        <v>84</v>
      </c>
    </row>
    <row r="39" spans="1:7" ht="144" x14ac:dyDescent="0.2">
      <c r="A39" s="66">
        <v>7.01</v>
      </c>
      <c r="B39" s="67" t="s">
        <v>85</v>
      </c>
      <c r="C39" s="56" t="s">
        <v>25</v>
      </c>
      <c r="D39" s="59">
        <f>IF(C39="y",VLOOKUP(LUT!C40,LUT!$C$4:$E$52,3),IF(C39="n",VLOOKUP(LUT!C40,LUT!$C$4:$E$52,2)," "))</f>
        <v>1</v>
      </c>
      <c r="E39" s="57"/>
      <c r="F39" s="101" t="s">
        <v>86</v>
      </c>
      <c r="G39" s="56" t="s">
        <v>87</v>
      </c>
    </row>
    <row r="40" spans="1:7" ht="128" x14ac:dyDescent="0.2">
      <c r="A40" s="66">
        <v>7.02</v>
      </c>
      <c r="B40" s="67" t="s">
        <v>88</v>
      </c>
      <c r="C40" s="56" t="s">
        <v>25</v>
      </c>
      <c r="D40" s="59">
        <f>IF(C40="y",VLOOKUP(LUT!C41,LUT!$C$4:$E$52,3),IF(C40="n",VLOOKUP(LUT!C41,LUT!$C$4:$E$52,2)," "))</f>
        <v>1</v>
      </c>
      <c r="E40" s="57"/>
      <c r="F40" s="64" t="s">
        <v>89</v>
      </c>
      <c r="G40" s="64" t="s">
        <v>90</v>
      </c>
    </row>
    <row r="41" spans="1:7" ht="16" x14ac:dyDescent="0.2">
      <c r="A41" s="66">
        <v>7.03</v>
      </c>
      <c r="B41" s="67" t="s">
        <v>91</v>
      </c>
      <c r="C41" s="56" t="s">
        <v>11</v>
      </c>
      <c r="D41" s="59">
        <f>IF(C41="y",VLOOKUP(LUT!C42,LUT!$C$4:$E$52,3),IF(C41="n",VLOOKUP(LUT!C42,LUT!$C$4:$E$52,2)," "))</f>
        <v>-1</v>
      </c>
      <c r="E41" s="57"/>
      <c r="F41" s="64" t="s">
        <v>12</v>
      </c>
      <c r="G41" s="64"/>
    </row>
    <row r="42" spans="1:7" ht="112" x14ac:dyDescent="0.2">
      <c r="A42" s="66">
        <v>7.04</v>
      </c>
      <c r="B42" s="67" t="s">
        <v>92</v>
      </c>
      <c r="C42" s="56" t="s">
        <v>25</v>
      </c>
      <c r="D42" s="59">
        <f>IF(C42="y",VLOOKUP(LUT!C43,LUT!$C$4:$E$52,3),IF(C42="n",VLOOKUP(LUT!C43,LUT!$C$4:$E$52,2)," "))</f>
        <v>1</v>
      </c>
      <c r="E42" s="57"/>
      <c r="F42" s="64" t="s">
        <v>93</v>
      </c>
      <c r="G42" s="64" t="s">
        <v>94</v>
      </c>
    </row>
    <row r="43" spans="1:7" ht="16" x14ac:dyDescent="0.2">
      <c r="A43" s="66">
        <v>7.05</v>
      </c>
      <c r="B43" s="67" t="s">
        <v>95</v>
      </c>
      <c r="C43" s="56" t="s">
        <v>11</v>
      </c>
      <c r="D43" s="59">
        <f>IF(C43="y",VLOOKUP(LUT!C44,LUT!$C$4:$E$52,3),IF(C43="n",VLOOKUP(LUT!C44,LUT!$C$4:$E$52,2)," "))</f>
        <v>-1</v>
      </c>
      <c r="E43" s="57"/>
      <c r="F43" s="64" t="s">
        <v>12</v>
      </c>
      <c r="G43" s="64"/>
    </row>
    <row r="44" spans="1:7" ht="16" x14ac:dyDescent="0.2">
      <c r="A44" s="66">
        <v>7.06</v>
      </c>
      <c r="B44" s="67" t="s">
        <v>96</v>
      </c>
      <c r="C44" s="56" t="s">
        <v>11</v>
      </c>
      <c r="D44" s="59">
        <f>IF(C44="y",VLOOKUP(LUT!C45,LUT!$C$4:$E$52,3),IF(C44="n",VLOOKUP(LUT!C45,LUT!$C$4:$E$52,2)," "))</f>
        <v>-1</v>
      </c>
      <c r="E44" s="57"/>
      <c r="F44" s="64" t="s">
        <v>12</v>
      </c>
      <c r="G44" s="64"/>
    </row>
    <row r="45" spans="1:7" ht="16" x14ac:dyDescent="0.2">
      <c r="A45" s="66">
        <v>7.07</v>
      </c>
      <c r="B45" s="67" t="s">
        <v>97</v>
      </c>
      <c r="C45" s="56" t="s">
        <v>11</v>
      </c>
      <c r="D45" s="59">
        <f>IF(C45="y",VLOOKUP(LUT!C46,LUT!$C$4:$E$52,3),IF(C45="n",VLOOKUP(LUT!C46,LUT!$C$4:$E$52,2)," "))</f>
        <v>-1</v>
      </c>
      <c r="E45" s="57"/>
      <c r="F45" s="64" t="s">
        <v>12</v>
      </c>
      <c r="G45" s="64"/>
    </row>
    <row r="46" spans="1:7" ht="16" x14ac:dyDescent="0.2">
      <c r="A46" s="66">
        <v>7.08</v>
      </c>
      <c r="B46" s="67" t="s">
        <v>98</v>
      </c>
      <c r="C46" s="56" t="s">
        <v>11</v>
      </c>
      <c r="D46" s="59">
        <f>IF(C46="y",VLOOKUP(LUT!C47,LUT!$C$4:$E$52,3),IF(C46="n",VLOOKUP(LUT!C47,LUT!$C$4:$E$52,2)," "))</f>
        <v>-1</v>
      </c>
      <c r="E46" s="57"/>
      <c r="F46" s="64" t="s">
        <v>12</v>
      </c>
      <c r="G46" s="64"/>
    </row>
    <row r="47" spans="1:7" ht="112" x14ac:dyDescent="0.2">
      <c r="A47" s="66">
        <v>8.01</v>
      </c>
      <c r="B47" s="67" t="s">
        <v>99</v>
      </c>
      <c r="C47" s="56" t="s">
        <v>25</v>
      </c>
      <c r="D47" s="59">
        <f>IF(C47="y",VLOOKUP(LUT!C48,LUT!$C$4:$E$52,3),IF(C47="n",VLOOKUP(LUT!C48,LUT!$C$4:$E$52,2)," "))</f>
        <v>1</v>
      </c>
      <c r="E47" s="57"/>
      <c r="F47" s="64" t="s">
        <v>100</v>
      </c>
      <c r="G47" s="64" t="s">
        <v>101</v>
      </c>
    </row>
    <row r="48" spans="1:7" ht="48" x14ac:dyDescent="0.2">
      <c r="A48" s="66">
        <v>8.02</v>
      </c>
      <c r="B48" s="67" t="s">
        <v>102</v>
      </c>
      <c r="C48" s="56" t="s">
        <v>35</v>
      </c>
      <c r="D48" s="59" t="str">
        <f>IF(C48="y",VLOOKUP(LUT!C49,LUT!$C$4:$E$52,3),IF(C48="n",VLOOKUP(LUT!C49,LUT!$C$4:$E$52,2)," "))</f>
        <v xml:space="preserve"> </v>
      </c>
      <c r="E48" s="57"/>
      <c r="F48" s="64" t="s">
        <v>103</v>
      </c>
      <c r="G48" s="64" t="s">
        <v>104</v>
      </c>
    </row>
    <row r="49" spans="1:7" ht="48" x14ac:dyDescent="0.2">
      <c r="A49" s="66">
        <v>8.0299999999999994</v>
      </c>
      <c r="B49" s="67" t="s">
        <v>105</v>
      </c>
      <c r="C49" s="56" t="s">
        <v>35</v>
      </c>
      <c r="D49" s="59" t="str">
        <f>IF(C49="y",VLOOKUP(LUT!C50,LUT!$C$4:$E$52,3),IF(C49="n",VLOOKUP(LUT!C50,LUT!$C$4:$E$52,2)," "))</f>
        <v xml:space="preserve"> </v>
      </c>
      <c r="E49" s="57"/>
      <c r="F49" s="64" t="s">
        <v>103</v>
      </c>
      <c r="G49" s="64" t="s">
        <v>104</v>
      </c>
    </row>
    <row r="50" spans="1:7" ht="160" x14ac:dyDescent="0.2">
      <c r="A50" s="66">
        <v>8.0399999999999991</v>
      </c>
      <c r="B50" s="67" t="s">
        <v>106</v>
      </c>
      <c r="C50" s="56" t="s">
        <v>25</v>
      </c>
      <c r="D50" s="59">
        <f>IF(C50="y",VLOOKUP(LUT!C51,LUT!$C$4:$E$52,3),IF(C50="n",VLOOKUP(LUT!C51,LUT!$C$4:$E$52,2)," "))</f>
        <v>1</v>
      </c>
      <c r="E50" s="57"/>
      <c r="F50" s="64" t="s">
        <v>107</v>
      </c>
      <c r="G50" s="64" t="s">
        <v>108</v>
      </c>
    </row>
    <row r="51" spans="1:7" ht="80" x14ac:dyDescent="0.2">
      <c r="A51" s="66">
        <v>8.0500000000000007</v>
      </c>
      <c r="B51" s="67" t="s">
        <v>109</v>
      </c>
      <c r="C51" s="56" t="s">
        <v>25</v>
      </c>
      <c r="D51" s="59">
        <f>IF(C51="y",VLOOKUP(LUT!C52,LUT!$C$4:$E$52,3),IF(C51="n",VLOOKUP(LUT!C52,LUT!$C$4:$E$52,2)," "))</f>
        <v>-1</v>
      </c>
      <c r="E51" s="57"/>
      <c r="F51" s="64" t="s">
        <v>110</v>
      </c>
      <c r="G51" s="64" t="s">
        <v>111</v>
      </c>
    </row>
    <row r="52" spans="1:7" ht="16" thickBot="1" x14ac:dyDescent="0.25">
      <c r="A52" s="87"/>
      <c r="B52" s="86"/>
      <c r="C52" s="56"/>
      <c r="D52" s="56"/>
      <c r="E52" s="57"/>
      <c r="F52" s="56"/>
      <c r="G52" s="56"/>
    </row>
    <row r="53" spans="1:7" ht="29.25" customHeight="1" thickTop="1" x14ac:dyDescent="0.2">
      <c r="A53" s="56"/>
      <c r="B53" s="56"/>
      <c r="C53" s="69" t="s">
        <v>112</v>
      </c>
      <c r="D53" s="61">
        <f>SUM(D3:D51)</f>
        <v>14</v>
      </c>
      <c r="E53" s="62"/>
      <c r="F53" s="56"/>
      <c r="G53" s="56"/>
    </row>
    <row r="54" spans="1:7" ht="33" customHeight="1" thickBot="1" x14ac:dyDescent="0.25">
      <c r="A54" s="56"/>
      <c r="B54" s="56"/>
      <c r="C54" s="70" t="s">
        <v>113</v>
      </c>
      <c r="D54" s="21" t="str">
        <f>IF(E60="no","more info needed",IF(D53&lt;1,"accept",IF(D53&gt;6,"reject","evaluate further")))</f>
        <v>reject</v>
      </c>
      <c r="E54" s="62"/>
      <c r="F54" s="56"/>
      <c r="G54" s="56"/>
    </row>
    <row r="55" spans="1:7" ht="17" thickTop="1" thickBot="1" x14ac:dyDescent="0.25">
      <c r="A55" s="56"/>
      <c r="B55" s="56"/>
      <c r="C55" s="56"/>
      <c r="D55" s="56"/>
      <c r="E55" s="57"/>
      <c r="F55" s="56"/>
      <c r="G55" s="56"/>
    </row>
    <row r="56" spans="1:7" ht="34" thickTop="1" thickBot="1" x14ac:dyDescent="0.25">
      <c r="A56" s="56"/>
      <c r="B56" s="22" t="s">
        <v>114</v>
      </c>
      <c r="C56" s="23" t="s">
        <v>115</v>
      </c>
      <c r="D56" s="19" t="s">
        <v>116</v>
      </c>
      <c r="E56" s="62"/>
      <c r="F56" s="63"/>
      <c r="G56" s="56"/>
    </row>
    <row r="57" spans="1:7" ht="17" thickTop="1" x14ac:dyDescent="0.2">
      <c r="A57" s="56"/>
      <c r="B57" s="28" t="s">
        <v>117</v>
      </c>
      <c r="C57" s="24">
        <f>COUNTIF(C3:C15, "y")+COUNTIF(C3:C15, "n")+COUNTIF(C6:C7, "1")+COUNTIF(C6:C7, "2")+COUNTIF(C6:C7, "3")</f>
        <v>10</v>
      </c>
      <c r="D57" s="20" t="str">
        <f>IF(C57&gt;=2,"yes","no")</f>
        <v>yes</v>
      </c>
      <c r="E57" s="62"/>
      <c r="F57" s="56"/>
      <c r="G57" s="56"/>
    </row>
    <row r="58" spans="1:7" ht="16" x14ac:dyDescent="0.2">
      <c r="A58" s="56"/>
      <c r="B58" s="29" t="s">
        <v>118</v>
      </c>
      <c r="C58" s="24">
        <f>COUNTIF(C16:C27,"y")+COUNTIF(C16:C27,"n")</f>
        <v>11</v>
      </c>
      <c r="D58" s="20" t="str">
        <f>IF(C58&gt;=2,"yes","no")</f>
        <v>yes</v>
      </c>
      <c r="E58" s="62"/>
      <c r="F58" s="56"/>
      <c r="G58" s="56"/>
    </row>
    <row r="59" spans="1:7" ht="16" x14ac:dyDescent="0.2">
      <c r="A59" s="56"/>
      <c r="B59" s="28" t="s">
        <v>119</v>
      </c>
      <c r="C59" s="24">
        <f>COUNTIF(C28:C51,"y")+COUNTIF(C28:C51, "n")+COUNT(C28:C51)</f>
        <v>19</v>
      </c>
      <c r="D59" s="20" t="str">
        <f>IF(C59&gt;=6,"yes","no")</f>
        <v>yes</v>
      </c>
      <c r="E59" s="62"/>
      <c r="F59" s="56"/>
      <c r="G59" s="56"/>
    </row>
    <row r="60" spans="1:7" ht="17" thickBot="1" x14ac:dyDescent="0.25">
      <c r="A60" s="56"/>
      <c r="B60" s="25" t="s">
        <v>120</v>
      </c>
      <c r="C60" s="26">
        <f>SUM(C57:C59)</f>
        <v>40</v>
      </c>
      <c r="D60" s="21" t="str">
        <f>IF(D57="no","no",IF(D58="no","no",IF(D59="no","no","yes")))</f>
        <v>yes</v>
      </c>
      <c r="E60" s="62"/>
      <c r="F60" s="56"/>
      <c r="G60" s="56"/>
    </row>
    <row r="61" spans="1:7" ht="16" thickTop="1" x14ac:dyDescent="0.2">
      <c r="A61" s="56"/>
      <c r="B61" s="56"/>
      <c r="C61" s="56"/>
      <c r="D61" s="56"/>
      <c r="E61" s="57"/>
      <c r="F61" s="56"/>
      <c r="G61" s="56"/>
    </row>
    <row r="62" spans="1:7" x14ac:dyDescent="0.2">
      <c r="A62" s="56"/>
      <c r="B62" s="56"/>
      <c r="C62" s="56"/>
      <c r="D62" s="56"/>
      <c r="E62" s="57"/>
      <c r="F62" s="56"/>
      <c r="G62" s="56"/>
    </row>
    <row r="63" spans="1:7" ht="16" thickBot="1" x14ac:dyDescent="0.25">
      <c r="A63" s="56"/>
      <c r="B63" s="108" t="s">
        <v>121</v>
      </c>
      <c r="C63" s="108"/>
      <c r="D63" s="108"/>
      <c r="E63" s="62"/>
      <c r="F63" s="56"/>
      <c r="G63" s="56"/>
    </row>
    <row r="64" spans="1:7" ht="16" thickBot="1" x14ac:dyDescent="0.25">
      <c r="A64" s="56"/>
      <c r="B64" s="109" t="s">
        <v>122</v>
      </c>
      <c r="C64" s="110"/>
      <c r="D64" s="111"/>
      <c r="E64" s="62"/>
      <c r="F64" s="56"/>
      <c r="G64" s="56"/>
    </row>
    <row r="65" spans="1:7" x14ac:dyDescent="0.2">
      <c r="A65" s="56">
        <v>9.01</v>
      </c>
      <c r="B65" s="71" t="s">
        <v>123</v>
      </c>
      <c r="C65" s="112"/>
      <c r="D65" s="113"/>
      <c r="E65" s="62"/>
      <c r="F65" s="56"/>
      <c r="G65" s="56"/>
    </row>
    <row r="66" spans="1:7" x14ac:dyDescent="0.2">
      <c r="A66" s="56">
        <v>9.02</v>
      </c>
      <c r="B66" s="71" t="s">
        <v>124</v>
      </c>
      <c r="C66" s="114"/>
      <c r="D66" s="115"/>
      <c r="E66" s="62"/>
      <c r="F66" s="56"/>
      <c r="G66" s="56"/>
    </row>
    <row r="67" spans="1:7" x14ac:dyDescent="0.2">
      <c r="A67" s="56">
        <v>9.0299999999999994</v>
      </c>
      <c r="B67" s="71" t="s">
        <v>125</v>
      </c>
      <c r="C67" s="106"/>
      <c r="D67" s="107"/>
      <c r="E67" s="62"/>
      <c r="F67" s="56"/>
      <c r="G67" s="56"/>
    </row>
    <row r="68" spans="1:7" x14ac:dyDescent="0.2">
      <c r="A68" s="56">
        <v>9.0399999999999991</v>
      </c>
      <c r="B68" s="71" t="s">
        <v>126</v>
      </c>
      <c r="C68" s="106"/>
      <c r="D68" s="107"/>
      <c r="E68" s="62"/>
      <c r="F68" s="56"/>
      <c r="G68" s="56"/>
    </row>
    <row r="69" spans="1:7" x14ac:dyDescent="0.2">
      <c r="A69" s="56">
        <v>9.0500000000000007</v>
      </c>
      <c r="B69" s="71" t="s">
        <v>127</v>
      </c>
      <c r="C69" s="106"/>
      <c r="D69" s="107"/>
      <c r="E69" s="62"/>
      <c r="F69" s="56"/>
      <c r="G69" s="56"/>
    </row>
    <row r="70" spans="1:7" x14ac:dyDescent="0.2">
      <c r="A70" s="56">
        <v>9.06</v>
      </c>
      <c r="B70" s="71" t="s">
        <v>128</v>
      </c>
      <c r="C70" s="106"/>
      <c r="D70" s="107"/>
      <c r="E70" s="62"/>
      <c r="F70" s="56"/>
      <c r="G70" s="56"/>
    </row>
    <row r="71" spans="1:7" x14ac:dyDescent="0.2">
      <c r="A71" s="56">
        <v>9.07</v>
      </c>
      <c r="B71" s="71" t="s">
        <v>129</v>
      </c>
      <c r="C71" s="94"/>
      <c r="D71" s="97" t="str">
        <f>IF(C71="yes", IF(OR(C65="?", C66="?", C67="no", C67="?"), "eval.", IF(AND(C65="yes", C66="yes", C67="yes"), "reject", IF(OR(C65="no", C66="no"), "accept", " ")))," ")</f>
        <v xml:space="preserve"> </v>
      </c>
      <c r="E71" s="62"/>
      <c r="F71" s="56"/>
      <c r="G71" s="56"/>
    </row>
    <row r="72" spans="1:7" x14ac:dyDescent="0.2">
      <c r="A72" s="56">
        <v>9.08</v>
      </c>
      <c r="B72" s="71" t="s">
        <v>130</v>
      </c>
      <c r="C72" s="92"/>
      <c r="D72" s="89" t="str">
        <f>IF(C71="yes","STOP",IF(C72="yes",IF(C68="no","accept",IF(AND(C68="yes",OR(C69="yes",C70="yes")),"reject",IF(OR(C68="?",C69="?",C70="?",C69="no",C70="no"),"eval.",""))), ""))</f>
        <v/>
      </c>
      <c r="E72" s="62"/>
      <c r="F72" s="56"/>
      <c r="G72" s="56"/>
    </row>
    <row r="73" spans="1:7" ht="16" thickBot="1" x14ac:dyDescent="0.25">
      <c r="A73" s="56">
        <v>9.09</v>
      </c>
      <c r="B73" s="91" t="s">
        <v>131</v>
      </c>
      <c r="C73" s="93"/>
      <c r="D73" s="90" t="str">
        <f>IF(OR(C71="yes",C72="yes"),"STOP",IF(C73="yes",IF(AND(LUT!I26="accept",LUT!I27="accept"),"accept",IF(AND(LUT!I26="eval.",LUT!I27="eval."),"eval.",IF(OR(LUT!I26="reject",LUT!I27="reject"),"reject",""))),""))</f>
        <v/>
      </c>
      <c r="E73" s="62"/>
      <c r="F73" s="56"/>
      <c r="G73" s="56"/>
    </row>
    <row r="74" spans="1:7" ht="16" thickBot="1" x14ac:dyDescent="0.25">
      <c r="A74" s="56"/>
      <c r="B74" s="72" t="s">
        <v>132</v>
      </c>
      <c r="C74" s="104" t="str">
        <f>IF(OR(D71="accept", D72="accept", D73="accept"), "Accept", IF(OR(D71="eval.", D72="eval.", D73="eval."), "Evaluate Further", IF(OR(D71="reject", D72="reject",D73="reject"), "Reject", "")))</f>
        <v/>
      </c>
      <c r="D74" s="105"/>
      <c r="E74" s="62"/>
      <c r="F74" s="56"/>
      <c r="G74" s="56"/>
    </row>
    <row r="75" spans="1:7" x14ac:dyDescent="0.2">
      <c r="A75" s="56"/>
      <c r="B75" s="64"/>
      <c r="C75" s="64"/>
      <c r="D75" s="56"/>
      <c r="E75" s="57"/>
      <c r="F75" s="56"/>
      <c r="G75" s="56"/>
    </row>
    <row r="76" spans="1:7" x14ac:dyDescent="0.2">
      <c r="A76" s="56"/>
      <c r="B76" s="64"/>
      <c r="C76" s="64"/>
      <c r="D76" s="56"/>
      <c r="E76" s="57"/>
      <c r="F76" s="56"/>
      <c r="G76" s="56"/>
    </row>
    <row r="77" spans="1:7" x14ac:dyDescent="0.2">
      <c r="A77" s="56"/>
      <c r="B77" s="64"/>
      <c r="C77" s="64"/>
      <c r="D77" s="56"/>
      <c r="E77" s="57"/>
      <c r="F77" s="56"/>
      <c r="G77" s="56"/>
    </row>
    <row r="78" spans="1:7" x14ac:dyDescent="0.2">
      <c r="A78" s="56"/>
      <c r="B78" s="64"/>
      <c r="C78" s="64"/>
      <c r="D78" s="56"/>
      <c r="E78" s="57"/>
      <c r="F78" s="56"/>
      <c r="G78" s="56"/>
    </row>
    <row r="79" spans="1:7" x14ac:dyDescent="0.2">
      <c r="A79" s="56"/>
      <c r="B79" s="64"/>
      <c r="C79" s="64"/>
      <c r="D79" s="56"/>
      <c r="E79" s="57"/>
      <c r="F79" s="56"/>
      <c r="G79" s="56"/>
    </row>
    <row r="80" spans="1:7" x14ac:dyDescent="0.2">
      <c r="A80" s="56"/>
      <c r="B80" s="64"/>
      <c r="C80" s="64"/>
      <c r="D80" s="56"/>
      <c r="E80" s="57"/>
      <c r="F80" s="56"/>
      <c r="G80" s="56"/>
    </row>
    <row r="81" spans="1:7" x14ac:dyDescent="0.2">
      <c r="A81" s="56"/>
      <c r="B81" s="64"/>
      <c r="C81" s="64"/>
      <c r="D81" s="56"/>
      <c r="E81" s="57"/>
      <c r="F81" s="56"/>
      <c r="G81" s="56"/>
    </row>
    <row r="82" spans="1:7" x14ac:dyDescent="0.2">
      <c r="A82" s="56"/>
      <c r="B82" s="64"/>
      <c r="C82" s="64"/>
      <c r="D82" s="56"/>
      <c r="E82" s="57"/>
      <c r="F82" s="56"/>
      <c r="G82" s="56"/>
    </row>
    <row r="83" spans="1:7" x14ac:dyDescent="0.2">
      <c r="A83" s="56"/>
      <c r="B83" s="64"/>
      <c r="C83" s="64"/>
      <c r="D83" s="56"/>
      <c r="E83" s="57"/>
      <c r="F83" s="56"/>
      <c r="G83" s="56"/>
    </row>
    <row r="84" spans="1:7" x14ac:dyDescent="0.2">
      <c r="A84" s="56"/>
      <c r="B84" s="64"/>
      <c r="C84" s="64"/>
      <c r="D84" s="56"/>
      <c r="E84" s="57"/>
      <c r="F84" s="56"/>
      <c r="G84" s="56"/>
    </row>
    <row r="85" spans="1:7" x14ac:dyDescent="0.2">
      <c r="A85" s="56"/>
      <c r="B85" s="64"/>
      <c r="C85" s="64"/>
      <c r="D85" s="56"/>
      <c r="E85" s="57"/>
      <c r="F85" s="56"/>
      <c r="G85" s="56"/>
    </row>
    <row r="86" spans="1:7" x14ac:dyDescent="0.2">
      <c r="A86" s="56"/>
      <c r="B86" s="56"/>
      <c r="C86" s="56"/>
      <c r="D86" s="56"/>
      <c r="E86" s="57"/>
      <c r="F86" s="56"/>
      <c r="G86" s="56"/>
    </row>
    <row r="107" spans="6:6" x14ac:dyDescent="0.2">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baseColWidth="10" defaultColWidth="8.83203125" defaultRowHeight="15" x14ac:dyDescent="0.2"/>
  <cols>
    <col min="1" max="1" width="6.83203125" customWidth="1"/>
    <col min="8" max="8" width="18.33203125" customWidth="1"/>
  </cols>
  <sheetData>
    <row r="1" spans="2:18" ht="16" thickBot="1" x14ac:dyDescent="0.25"/>
    <row r="2" spans="2:18" ht="16" thickBot="1" x14ac:dyDescent="0.25">
      <c r="B2" t="s">
        <v>133</v>
      </c>
      <c r="H2" s="141" t="s">
        <v>134</v>
      </c>
      <c r="I2" s="142"/>
      <c r="J2" s="142"/>
      <c r="K2" s="142"/>
      <c r="L2" s="142"/>
      <c r="M2" s="142"/>
      <c r="N2" s="142"/>
      <c r="O2" s="142"/>
      <c r="P2" s="142"/>
      <c r="Q2" s="142"/>
      <c r="R2" s="143"/>
    </row>
    <row r="3" spans="2:18" x14ac:dyDescent="0.2">
      <c r="B3" s="1" t="s">
        <v>114</v>
      </c>
      <c r="C3" s="2" t="s">
        <v>4</v>
      </c>
      <c r="D3" s="2" t="s">
        <v>135</v>
      </c>
      <c r="E3" s="3" t="s">
        <v>136</v>
      </c>
      <c r="H3" s="128" t="s">
        <v>137</v>
      </c>
      <c r="I3" s="129"/>
      <c r="J3" s="129"/>
      <c r="K3" s="129"/>
      <c r="L3" s="129"/>
      <c r="M3" s="129"/>
      <c r="N3" s="129"/>
      <c r="O3" s="129"/>
      <c r="P3" s="129"/>
      <c r="Q3" s="129"/>
      <c r="R3" s="130"/>
    </row>
    <row r="4" spans="2:18" x14ac:dyDescent="0.2">
      <c r="B4" s="4" t="s">
        <v>138</v>
      </c>
      <c r="C4">
        <v>1.01</v>
      </c>
      <c r="D4">
        <v>0</v>
      </c>
      <c r="E4" s="5">
        <v>-3</v>
      </c>
      <c r="H4" s="131" t="s">
        <v>139</v>
      </c>
      <c r="I4" s="132"/>
      <c r="J4" s="132"/>
      <c r="K4" s="132"/>
      <c r="L4" s="132"/>
      <c r="M4" s="132"/>
      <c r="N4" s="132"/>
      <c r="O4" s="132"/>
      <c r="P4" s="132"/>
      <c r="Q4" s="132"/>
      <c r="R4" s="16" t="s">
        <v>140</v>
      </c>
    </row>
    <row r="5" spans="2:18" x14ac:dyDescent="0.2">
      <c r="B5" s="4" t="s">
        <v>119</v>
      </c>
      <c r="C5">
        <v>1.02</v>
      </c>
      <c r="D5">
        <v>-1</v>
      </c>
      <c r="E5" s="5">
        <v>1</v>
      </c>
      <c r="H5" s="131" t="s">
        <v>141</v>
      </c>
      <c r="I5" s="10">
        <v>2.0099999999999998</v>
      </c>
      <c r="J5" s="10">
        <v>1</v>
      </c>
      <c r="K5" s="10">
        <v>1</v>
      </c>
      <c r="L5" s="10">
        <v>1</v>
      </c>
      <c r="M5" s="10">
        <v>2</v>
      </c>
      <c r="N5" s="10">
        <v>2</v>
      </c>
      <c r="O5" s="10">
        <v>2</v>
      </c>
      <c r="P5" s="10">
        <v>3</v>
      </c>
      <c r="Q5" s="10">
        <v>3</v>
      </c>
      <c r="R5" s="11">
        <v>3</v>
      </c>
    </row>
    <row r="6" spans="2:18" x14ac:dyDescent="0.2">
      <c r="B6" s="4" t="s">
        <v>119</v>
      </c>
      <c r="C6">
        <v>1.03</v>
      </c>
      <c r="D6">
        <v>-1</v>
      </c>
      <c r="E6" s="5">
        <v>1</v>
      </c>
      <c r="H6" s="131"/>
      <c r="I6" s="10">
        <v>2.02</v>
      </c>
      <c r="J6" s="10">
        <v>1</v>
      </c>
      <c r="K6" s="10">
        <v>2</v>
      </c>
      <c r="L6" s="10">
        <v>3</v>
      </c>
      <c r="M6" s="10">
        <v>1</v>
      </c>
      <c r="N6" s="10">
        <v>2</v>
      </c>
      <c r="O6" s="10">
        <v>3</v>
      </c>
      <c r="P6" s="10">
        <v>1</v>
      </c>
      <c r="Q6" s="10">
        <v>2</v>
      </c>
      <c r="R6" s="11">
        <v>3</v>
      </c>
    </row>
    <row r="7" spans="2:18" x14ac:dyDescent="0.2">
      <c r="B7" s="4"/>
      <c r="C7">
        <v>2.0099999999999998</v>
      </c>
      <c r="D7" s="116" t="s">
        <v>142</v>
      </c>
      <c r="E7" s="117"/>
      <c r="H7" s="133" t="s">
        <v>143</v>
      </c>
      <c r="I7" s="10">
        <v>3.01</v>
      </c>
      <c r="J7" s="10">
        <v>2</v>
      </c>
      <c r="K7" s="10">
        <v>1</v>
      </c>
      <c r="L7" s="10">
        <v>1</v>
      </c>
      <c r="M7" s="10">
        <v>2</v>
      </c>
      <c r="N7" s="10">
        <v>2</v>
      </c>
      <c r="O7" s="10">
        <v>1</v>
      </c>
      <c r="P7" s="10">
        <v>2</v>
      </c>
      <c r="Q7" s="10">
        <v>2</v>
      </c>
      <c r="R7" s="11">
        <v>2</v>
      </c>
    </row>
    <row r="8" spans="2:18" x14ac:dyDescent="0.2">
      <c r="B8" s="4"/>
      <c r="C8">
        <v>2.02</v>
      </c>
      <c r="D8" s="118"/>
      <c r="E8" s="119"/>
      <c r="H8" s="133"/>
      <c r="I8" s="10">
        <v>3.02</v>
      </c>
      <c r="J8" s="10">
        <v>2</v>
      </c>
      <c r="K8" s="10">
        <v>1</v>
      </c>
      <c r="L8" s="10">
        <v>1</v>
      </c>
      <c r="M8" s="10">
        <v>2</v>
      </c>
      <c r="N8" s="10">
        <v>2</v>
      </c>
      <c r="O8" s="10">
        <v>1</v>
      </c>
      <c r="P8" s="10">
        <v>2</v>
      </c>
      <c r="Q8" s="10">
        <v>2</v>
      </c>
      <c r="R8" s="11">
        <v>2</v>
      </c>
    </row>
    <row r="9" spans="2:18" x14ac:dyDescent="0.2">
      <c r="B9" s="4" t="s">
        <v>119</v>
      </c>
      <c r="C9">
        <v>2.0299999999999998</v>
      </c>
      <c r="D9">
        <v>0</v>
      </c>
      <c r="E9" s="5">
        <v>1</v>
      </c>
      <c r="H9" s="133"/>
      <c r="I9" s="10">
        <v>3.03</v>
      </c>
      <c r="J9" s="10">
        <v>4</v>
      </c>
      <c r="K9" s="10">
        <v>2</v>
      </c>
      <c r="L9" s="10">
        <v>1</v>
      </c>
      <c r="M9" s="10">
        <v>4</v>
      </c>
      <c r="N9" s="10">
        <v>3</v>
      </c>
      <c r="O9" s="10">
        <v>2</v>
      </c>
      <c r="P9" s="10">
        <v>4</v>
      </c>
      <c r="Q9" s="10">
        <v>4</v>
      </c>
      <c r="R9" s="11">
        <v>4</v>
      </c>
    </row>
    <row r="10" spans="2:18" x14ac:dyDescent="0.2">
      <c r="B10" s="4" t="s">
        <v>119</v>
      </c>
      <c r="C10">
        <v>2.04</v>
      </c>
      <c r="D10">
        <v>0</v>
      </c>
      <c r="E10" s="5">
        <v>1</v>
      </c>
      <c r="H10" s="133"/>
      <c r="I10" s="10">
        <v>3.04</v>
      </c>
      <c r="J10" s="10">
        <v>4</v>
      </c>
      <c r="K10" s="10">
        <v>2</v>
      </c>
      <c r="L10" s="10">
        <v>1</v>
      </c>
      <c r="M10" s="10">
        <v>4</v>
      </c>
      <c r="N10" s="10">
        <v>3</v>
      </c>
      <c r="O10" s="10">
        <v>2</v>
      </c>
      <c r="P10" s="10">
        <v>4</v>
      </c>
      <c r="Q10" s="10">
        <v>4</v>
      </c>
      <c r="R10" s="11">
        <v>4</v>
      </c>
    </row>
    <row r="11" spans="2:18" x14ac:dyDescent="0.2">
      <c r="B11" s="4"/>
      <c r="C11">
        <v>2.0499999999999998</v>
      </c>
      <c r="E11" s="5"/>
      <c r="H11" s="133"/>
      <c r="I11" s="10">
        <v>3.05</v>
      </c>
      <c r="J11" s="10">
        <v>2</v>
      </c>
      <c r="K11" s="10">
        <v>1</v>
      </c>
      <c r="L11" s="10">
        <v>1</v>
      </c>
      <c r="M11" s="10">
        <v>2</v>
      </c>
      <c r="N11" s="10">
        <v>2</v>
      </c>
      <c r="O11" s="10">
        <v>1</v>
      </c>
      <c r="P11" s="10">
        <v>2</v>
      </c>
      <c r="Q11" s="10">
        <v>2</v>
      </c>
      <c r="R11" s="11">
        <v>2</v>
      </c>
    </row>
    <row r="12" spans="2:18" x14ac:dyDescent="0.2">
      <c r="B12" s="4" t="s">
        <v>119</v>
      </c>
      <c r="C12">
        <v>3.01</v>
      </c>
      <c r="D12" s="120" t="s">
        <v>144</v>
      </c>
      <c r="E12" s="121"/>
      <c r="H12" s="144" t="s">
        <v>145</v>
      </c>
      <c r="I12" s="145"/>
      <c r="J12" s="145"/>
      <c r="K12" s="145"/>
      <c r="L12" s="145"/>
      <c r="M12" s="145"/>
      <c r="N12" s="145"/>
      <c r="O12" s="145"/>
      <c r="P12" s="145"/>
      <c r="Q12" s="145"/>
      <c r="R12" s="147"/>
    </row>
    <row r="13" spans="2:18" x14ac:dyDescent="0.2">
      <c r="B13" s="4" t="s">
        <v>146</v>
      </c>
      <c r="C13">
        <v>3.02</v>
      </c>
      <c r="D13" s="122"/>
      <c r="E13" s="123"/>
      <c r="H13" s="4" t="s">
        <v>147</v>
      </c>
      <c r="I13" s="10">
        <v>2.0499999999999998</v>
      </c>
      <c r="J13" s="10" t="s">
        <v>35</v>
      </c>
      <c r="K13" s="10" t="s">
        <v>148</v>
      </c>
      <c r="L13" s="10" t="s">
        <v>149</v>
      </c>
      <c r="M13" s="145"/>
      <c r="N13" s="145"/>
      <c r="O13" s="145"/>
      <c r="P13" s="145"/>
      <c r="Q13" s="145"/>
      <c r="R13" s="147"/>
    </row>
    <row r="14" spans="2:18" x14ac:dyDescent="0.2">
      <c r="B14" s="4" t="s">
        <v>117</v>
      </c>
      <c r="C14">
        <v>3.03</v>
      </c>
      <c r="D14" s="122"/>
      <c r="E14" s="123"/>
      <c r="H14" s="133" t="s">
        <v>143</v>
      </c>
      <c r="I14" s="10">
        <v>3.01</v>
      </c>
      <c r="J14" s="10">
        <v>-1</v>
      </c>
      <c r="K14" s="10">
        <v>0</v>
      </c>
      <c r="L14" s="10">
        <v>-2</v>
      </c>
      <c r="M14" s="145"/>
      <c r="N14" s="145"/>
      <c r="O14" s="145"/>
      <c r="P14" s="145"/>
      <c r="Q14" s="145"/>
      <c r="R14" s="147"/>
    </row>
    <row r="15" spans="2:18" ht="16" thickBot="1" x14ac:dyDescent="0.25">
      <c r="B15" s="4" t="s">
        <v>146</v>
      </c>
      <c r="C15">
        <v>3.04</v>
      </c>
      <c r="D15" s="122"/>
      <c r="E15" s="123"/>
      <c r="H15" s="146"/>
      <c r="I15" s="13" t="s">
        <v>150</v>
      </c>
      <c r="J15" s="13">
        <v>0</v>
      </c>
      <c r="K15" s="13">
        <v>0</v>
      </c>
      <c r="L15" s="13">
        <v>0</v>
      </c>
      <c r="M15" s="148"/>
      <c r="N15" s="148"/>
      <c r="O15" s="148"/>
      <c r="P15" s="148"/>
      <c r="Q15" s="148"/>
      <c r="R15" s="149"/>
    </row>
    <row r="16" spans="2:18" x14ac:dyDescent="0.2">
      <c r="B16" s="4" t="s">
        <v>119</v>
      </c>
      <c r="C16">
        <v>3.05</v>
      </c>
      <c r="D16" s="124"/>
      <c r="E16" s="125"/>
    </row>
    <row r="17" spans="2:11" x14ac:dyDescent="0.2">
      <c r="B17" s="4" t="s">
        <v>151</v>
      </c>
      <c r="C17">
        <v>4.01</v>
      </c>
      <c r="D17">
        <v>0</v>
      </c>
      <c r="E17" s="5">
        <v>1</v>
      </c>
    </row>
    <row r="18" spans="2:11" ht="16" thickBot="1" x14ac:dyDescent="0.25">
      <c r="B18" s="4" t="s">
        <v>119</v>
      </c>
      <c r="C18">
        <v>4.0199999999999996</v>
      </c>
      <c r="D18">
        <v>0</v>
      </c>
      <c r="E18" s="5">
        <v>1</v>
      </c>
    </row>
    <row r="19" spans="2:11" x14ac:dyDescent="0.2">
      <c r="B19" s="4" t="s">
        <v>119</v>
      </c>
      <c r="C19">
        <v>4.03</v>
      </c>
      <c r="D19">
        <v>0</v>
      </c>
      <c r="E19" s="5">
        <v>1</v>
      </c>
      <c r="H19" s="141" t="s">
        <v>152</v>
      </c>
      <c r="I19" s="142"/>
      <c r="J19" s="142"/>
      <c r="K19" s="143"/>
    </row>
    <row r="20" spans="2:11" x14ac:dyDescent="0.2">
      <c r="B20" s="4" t="s">
        <v>117</v>
      </c>
      <c r="C20">
        <v>4.04</v>
      </c>
      <c r="D20">
        <v>-1</v>
      </c>
      <c r="E20" s="5">
        <v>1</v>
      </c>
      <c r="H20" s="4" t="s">
        <v>153</v>
      </c>
      <c r="I20" s="12">
        <v>1</v>
      </c>
      <c r="J20" s="12">
        <v>2</v>
      </c>
      <c r="K20" s="9">
        <v>4</v>
      </c>
    </row>
    <row r="21" spans="2:11" ht="16" thickBot="1" x14ac:dyDescent="0.25">
      <c r="B21" s="4" t="s">
        <v>119</v>
      </c>
      <c r="C21">
        <v>4.05</v>
      </c>
      <c r="D21">
        <v>0</v>
      </c>
      <c r="E21" s="5">
        <v>1</v>
      </c>
      <c r="H21" s="6" t="s">
        <v>6</v>
      </c>
      <c r="I21" s="14">
        <v>1</v>
      </c>
      <c r="J21" s="14">
        <v>0</v>
      </c>
      <c r="K21" s="15">
        <v>-1</v>
      </c>
    </row>
    <row r="22" spans="2:11" x14ac:dyDescent="0.2">
      <c r="B22" s="4" t="s">
        <v>119</v>
      </c>
      <c r="C22">
        <v>4.0599999999999996</v>
      </c>
      <c r="D22">
        <v>0</v>
      </c>
      <c r="E22" s="5">
        <v>1</v>
      </c>
    </row>
    <row r="23" spans="2:11" x14ac:dyDescent="0.2">
      <c r="B23" s="4" t="s">
        <v>119</v>
      </c>
      <c r="C23">
        <v>4.07</v>
      </c>
      <c r="D23">
        <v>0</v>
      </c>
      <c r="E23" s="5">
        <v>1</v>
      </c>
    </row>
    <row r="24" spans="2:11" ht="16" thickBot="1" x14ac:dyDescent="0.25">
      <c r="B24" s="4" t="s">
        <v>146</v>
      </c>
      <c r="C24">
        <v>4.08</v>
      </c>
      <c r="D24">
        <v>0</v>
      </c>
      <c r="E24" s="5">
        <v>1</v>
      </c>
    </row>
    <row r="25" spans="2:11" x14ac:dyDescent="0.2">
      <c r="B25" s="4" t="s">
        <v>146</v>
      </c>
      <c r="C25">
        <v>4.09</v>
      </c>
      <c r="D25">
        <v>0</v>
      </c>
      <c r="E25" s="5">
        <v>1</v>
      </c>
      <c r="H25" s="134" t="s">
        <v>154</v>
      </c>
      <c r="I25" s="135"/>
      <c r="J25" s="135"/>
      <c r="K25" s="136"/>
    </row>
    <row r="26" spans="2:11" x14ac:dyDescent="0.2">
      <c r="B26" s="4" t="s">
        <v>146</v>
      </c>
      <c r="C26">
        <v>4.0999999999999996</v>
      </c>
      <c r="D26">
        <v>0</v>
      </c>
      <c r="E26" s="5">
        <v>1</v>
      </c>
      <c r="H26" s="95" t="s">
        <v>155</v>
      </c>
      <c r="I26" s="137" t="str">
        <f>IF(OR('WRA Worksheet'!C65="?",'WRA Worksheet'!C66="?",'WRA Worksheet'!C67="?",'WRA Worksheet'!C67="no"),"eval.",IF(AND('WRA Worksheet'!C65="yes",'WRA Worksheet'!C66="yes",'WRA Worksheet'!C67="yes"),"reject",IF(OR('WRA Worksheet'!C65="no",'WRA Worksheet'!C66="no"),"accept","")))</f>
        <v/>
      </c>
      <c r="J26" s="137"/>
      <c r="K26" s="138"/>
    </row>
    <row r="27" spans="2:11" ht="16" thickBot="1" x14ac:dyDescent="0.25">
      <c r="B27" s="4" t="s">
        <v>146</v>
      </c>
      <c r="C27">
        <v>4.1100000000000003</v>
      </c>
      <c r="D27">
        <v>0</v>
      </c>
      <c r="E27" s="5">
        <v>1</v>
      </c>
      <c r="H27" s="96" t="s">
        <v>156</v>
      </c>
      <c r="I27" s="139" t="str">
        <f>IF('WRA Worksheet'!C68="no","accept",IF(AND('WRA Worksheet'!C68="yes",OR('WRA Worksheet'!C69="yes",'WRA Worksheet'!C70="yes")),"reject",IF(OR('WRA Worksheet'!C68="?",'WRA Worksheet'!C69="?",'WRA Worksheet'!C70="?",'WRA Worksheet'!C69="no",'WRA Worksheet'!C70="no"),"eval.","")))</f>
        <v/>
      </c>
      <c r="J27" s="139"/>
      <c r="K27" s="140"/>
    </row>
    <row r="28" spans="2:11" x14ac:dyDescent="0.2">
      <c r="B28" s="4" t="s">
        <v>119</v>
      </c>
      <c r="C28">
        <v>4.12</v>
      </c>
      <c r="D28">
        <v>0</v>
      </c>
      <c r="E28" s="5">
        <v>1</v>
      </c>
    </row>
    <row r="29" spans="2:11" x14ac:dyDescent="0.2">
      <c r="B29" s="4" t="s">
        <v>157</v>
      </c>
      <c r="C29">
        <v>5.01</v>
      </c>
      <c r="D29">
        <v>0</v>
      </c>
      <c r="E29" s="5">
        <v>5</v>
      </c>
    </row>
    <row r="30" spans="2:11" x14ac:dyDescent="0.2">
      <c r="B30" s="4" t="s">
        <v>119</v>
      </c>
      <c r="C30">
        <v>5.0199999999999996</v>
      </c>
      <c r="D30">
        <v>0</v>
      </c>
      <c r="E30" s="5">
        <v>1</v>
      </c>
    </row>
    <row r="31" spans="2:11" x14ac:dyDescent="0.2">
      <c r="B31" s="4" t="s">
        <v>146</v>
      </c>
      <c r="C31">
        <v>5.03</v>
      </c>
      <c r="D31">
        <v>0</v>
      </c>
      <c r="E31" s="5">
        <v>1</v>
      </c>
    </row>
    <row r="32" spans="2:11" x14ac:dyDescent="0.2">
      <c r="B32" s="4" t="s">
        <v>119</v>
      </c>
      <c r="C32">
        <v>5.04</v>
      </c>
      <c r="D32">
        <v>0</v>
      </c>
      <c r="E32" s="5">
        <v>1</v>
      </c>
    </row>
    <row r="33" spans="2:5" x14ac:dyDescent="0.2">
      <c r="B33" s="4" t="s">
        <v>119</v>
      </c>
      <c r="C33">
        <v>6.01</v>
      </c>
      <c r="D33">
        <v>0</v>
      </c>
      <c r="E33" s="5">
        <v>1</v>
      </c>
    </row>
    <row r="34" spans="2:5" x14ac:dyDescent="0.2">
      <c r="B34" s="4" t="s">
        <v>119</v>
      </c>
      <c r="C34">
        <v>6.02</v>
      </c>
      <c r="D34">
        <v>-1</v>
      </c>
      <c r="E34" s="5">
        <v>1</v>
      </c>
    </row>
    <row r="35" spans="2:5" x14ac:dyDescent="0.2">
      <c r="B35" s="4" t="s">
        <v>117</v>
      </c>
      <c r="C35">
        <v>6.03</v>
      </c>
      <c r="D35">
        <v>-1</v>
      </c>
      <c r="E35" s="5">
        <v>1</v>
      </c>
    </row>
    <row r="36" spans="2:5" x14ac:dyDescent="0.2">
      <c r="B36" s="4" t="s">
        <v>119</v>
      </c>
      <c r="C36">
        <v>6.04</v>
      </c>
      <c r="D36">
        <v>-1</v>
      </c>
      <c r="E36" s="5">
        <v>1</v>
      </c>
    </row>
    <row r="37" spans="2:5" x14ac:dyDescent="0.2">
      <c r="B37" s="4" t="s">
        <v>119</v>
      </c>
      <c r="C37">
        <v>6.05</v>
      </c>
      <c r="D37">
        <v>0</v>
      </c>
      <c r="E37" s="5">
        <v>-1</v>
      </c>
    </row>
    <row r="38" spans="2:5" x14ac:dyDescent="0.2">
      <c r="B38" s="4" t="s">
        <v>117</v>
      </c>
      <c r="C38">
        <v>6.06</v>
      </c>
      <c r="D38">
        <v>-1</v>
      </c>
      <c r="E38" s="5">
        <v>1</v>
      </c>
    </row>
    <row r="39" spans="2:5" x14ac:dyDescent="0.2">
      <c r="B39" s="4" t="s">
        <v>119</v>
      </c>
      <c r="C39">
        <v>6.07</v>
      </c>
      <c r="D39" s="126" t="s">
        <v>158</v>
      </c>
      <c r="E39" s="127"/>
    </row>
    <row r="40" spans="2:5" x14ac:dyDescent="0.2">
      <c r="B40" s="4" t="s">
        <v>117</v>
      </c>
      <c r="C40">
        <v>7.01</v>
      </c>
      <c r="D40">
        <v>-1</v>
      </c>
      <c r="E40" s="5">
        <v>1</v>
      </c>
    </row>
    <row r="41" spans="2:5" x14ac:dyDescent="0.2">
      <c r="B41" s="4" t="s">
        <v>119</v>
      </c>
      <c r="C41">
        <v>7.02</v>
      </c>
      <c r="D41">
        <v>-1</v>
      </c>
      <c r="E41" s="5">
        <v>1</v>
      </c>
    </row>
    <row r="42" spans="2:5" x14ac:dyDescent="0.2">
      <c r="B42" s="4" t="s">
        <v>117</v>
      </c>
      <c r="C42">
        <v>7.03</v>
      </c>
      <c r="D42">
        <v>-1</v>
      </c>
      <c r="E42" s="5">
        <v>1</v>
      </c>
    </row>
    <row r="43" spans="2:5" x14ac:dyDescent="0.2">
      <c r="B43" s="4" t="s">
        <v>119</v>
      </c>
      <c r="C43">
        <v>7.04</v>
      </c>
      <c r="D43">
        <v>-1</v>
      </c>
      <c r="E43" s="5">
        <v>1</v>
      </c>
    </row>
    <row r="44" spans="2:5" x14ac:dyDescent="0.2">
      <c r="B44" s="4" t="s">
        <v>146</v>
      </c>
      <c r="C44">
        <v>7.05</v>
      </c>
      <c r="D44">
        <v>-1</v>
      </c>
      <c r="E44" s="5">
        <v>1</v>
      </c>
    </row>
    <row r="45" spans="2:5" x14ac:dyDescent="0.2">
      <c r="B45" s="4" t="s">
        <v>146</v>
      </c>
      <c r="C45">
        <v>7.06</v>
      </c>
      <c r="D45">
        <v>-1</v>
      </c>
      <c r="E45" s="5">
        <v>1</v>
      </c>
    </row>
    <row r="46" spans="2:5" x14ac:dyDescent="0.2">
      <c r="B46" s="4" t="s">
        <v>119</v>
      </c>
      <c r="C46">
        <v>7.07</v>
      </c>
      <c r="D46">
        <v>-1</v>
      </c>
      <c r="E46" s="5">
        <v>1</v>
      </c>
    </row>
    <row r="47" spans="2:5" x14ac:dyDescent="0.2">
      <c r="B47" s="4" t="s">
        <v>119</v>
      </c>
      <c r="C47">
        <v>7.08</v>
      </c>
      <c r="D47">
        <v>-1</v>
      </c>
      <c r="E47" s="5">
        <v>1</v>
      </c>
    </row>
    <row r="48" spans="2:5" x14ac:dyDescent="0.2">
      <c r="B48" s="4" t="s">
        <v>119</v>
      </c>
      <c r="C48">
        <v>8.01</v>
      </c>
      <c r="D48">
        <v>-1</v>
      </c>
      <c r="E48" s="5">
        <v>1</v>
      </c>
    </row>
    <row r="49" spans="2:5" x14ac:dyDescent="0.2">
      <c r="B49" s="4" t="s">
        <v>119</v>
      </c>
      <c r="C49">
        <v>8.02</v>
      </c>
      <c r="D49">
        <v>-1</v>
      </c>
      <c r="E49" s="5">
        <v>1</v>
      </c>
    </row>
    <row r="50" spans="2:5" x14ac:dyDescent="0.2">
      <c r="B50" s="4" t="s">
        <v>117</v>
      </c>
      <c r="C50">
        <v>8.0299999999999994</v>
      </c>
      <c r="D50">
        <v>1</v>
      </c>
      <c r="E50" s="5">
        <v>-1</v>
      </c>
    </row>
    <row r="51" spans="2:5" x14ac:dyDescent="0.2">
      <c r="B51" s="4" t="s">
        <v>117</v>
      </c>
      <c r="C51">
        <v>8.0399999999999991</v>
      </c>
      <c r="D51">
        <v>-1</v>
      </c>
      <c r="E51" s="5">
        <v>1</v>
      </c>
    </row>
    <row r="52" spans="2:5" x14ac:dyDescent="0.2">
      <c r="B52" s="4" t="s">
        <v>119</v>
      </c>
      <c r="C52">
        <v>8.0500000000000007</v>
      </c>
      <c r="D52">
        <v>1</v>
      </c>
      <c r="E52" s="5">
        <v>-1</v>
      </c>
    </row>
    <row r="53" spans="2:5" x14ac:dyDescent="0.2">
      <c r="B53" s="4"/>
      <c r="E53" s="5"/>
    </row>
    <row r="54" spans="2:5" ht="16" thickBot="1" x14ac:dyDescent="0.25">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H2:R2"/>
    <mergeCell ref="H12:L12"/>
    <mergeCell ref="H14:H15"/>
    <mergeCell ref="M12:R15"/>
    <mergeCell ref="H19:K19"/>
    <mergeCell ref="D7:E8"/>
    <mergeCell ref="D12:E16"/>
    <mergeCell ref="D39:E39"/>
    <mergeCell ref="H3:R3"/>
    <mergeCell ref="H4:Q4"/>
    <mergeCell ref="H5:H6"/>
    <mergeCell ref="H7:H11"/>
    <mergeCell ref="H25:K25"/>
    <mergeCell ref="I26:K26"/>
    <mergeCell ref="I27:K2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baseColWidth="10" defaultColWidth="8.83203125" defaultRowHeight="15" x14ac:dyDescent="0.2"/>
  <cols>
    <col min="1" max="1" width="7.1640625" customWidth="1"/>
    <col min="2" max="2" width="64.5" customWidth="1"/>
  </cols>
  <sheetData>
    <row r="1" spans="1:4" ht="109.5" customHeight="1" x14ac:dyDescent="0.2">
      <c r="A1" s="153" t="str">
        <f>'WRA Worksheet'!F1</f>
        <v>Assessment date: 03 November 2025 Prepared by Cameron Deelstra</v>
      </c>
      <c r="B1" s="154"/>
      <c r="C1" s="154"/>
      <c r="D1" s="98" t="s">
        <v>159</v>
      </c>
    </row>
    <row r="2" spans="1:4" ht="19" x14ac:dyDescent="0.2">
      <c r="A2" s="150" t="s">
        <v>160</v>
      </c>
      <c r="B2" s="151"/>
      <c r="C2" s="73" t="s">
        <v>5</v>
      </c>
      <c r="D2" s="73" t="s">
        <v>6</v>
      </c>
    </row>
    <row r="3" spans="1:4" ht="16" x14ac:dyDescent="0.2">
      <c r="A3" s="74">
        <v>1.01</v>
      </c>
      <c r="B3" s="75" t="s">
        <v>10</v>
      </c>
      <c r="C3" s="76" t="str">
        <f>'WRA Worksheet'!C3</f>
        <v>n</v>
      </c>
      <c r="D3" s="82">
        <f>'WRA Worksheet'!D3</f>
        <v>0</v>
      </c>
    </row>
    <row r="4" spans="1:4" ht="16" x14ac:dyDescent="0.2">
      <c r="A4" s="74">
        <v>1.02</v>
      </c>
      <c r="B4" s="75" t="s">
        <v>13</v>
      </c>
      <c r="C4" s="76">
        <f>'WRA Worksheet'!C4</f>
        <v>0</v>
      </c>
      <c r="D4" s="82" t="str">
        <f>'WRA Worksheet'!D4</f>
        <v xml:space="preserve"> </v>
      </c>
    </row>
    <row r="5" spans="1:4" ht="16" x14ac:dyDescent="0.2">
      <c r="A5" s="74">
        <v>1.03</v>
      </c>
      <c r="B5" s="75" t="s">
        <v>14</v>
      </c>
      <c r="C5" s="76">
        <f>'WRA Worksheet'!C5</f>
        <v>0</v>
      </c>
      <c r="D5" s="82" t="str">
        <f>'WRA Worksheet'!D5</f>
        <v xml:space="preserve"> </v>
      </c>
    </row>
    <row r="6" spans="1:4" ht="52" x14ac:dyDescent="0.2">
      <c r="A6" s="74">
        <v>2.0099999999999998</v>
      </c>
      <c r="B6" s="77" t="s">
        <v>161</v>
      </c>
      <c r="C6" s="76">
        <f>'WRA Worksheet'!C6</f>
        <v>3</v>
      </c>
      <c r="D6" s="83"/>
    </row>
    <row r="7" spans="1:4" ht="16" x14ac:dyDescent="0.2">
      <c r="A7" s="74">
        <v>2.02</v>
      </c>
      <c r="B7" s="75" t="s">
        <v>162</v>
      </c>
      <c r="C7" s="76">
        <f>'WRA Worksheet'!C7</f>
        <v>3</v>
      </c>
      <c r="D7" s="83"/>
    </row>
    <row r="8" spans="1:4" ht="16" x14ac:dyDescent="0.2">
      <c r="A8" s="74">
        <v>2.0299999999999998</v>
      </c>
      <c r="B8" s="75" t="s">
        <v>19</v>
      </c>
      <c r="C8" s="76" t="str">
        <f>'WRA Worksheet'!C8</f>
        <v>n</v>
      </c>
      <c r="D8" s="82">
        <f>'WRA Worksheet'!D8</f>
        <v>0</v>
      </c>
    </row>
    <row r="9" spans="1:4" ht="52" x14ac:dyDescent="0.2">
      <c r="A9" s="74">
        <v>2.04</v>
      </c>
      <c r="B9" s="78" t="s">
        <v>21</v>
      </c>
      <c r="C9" s="76" t="str">
        <f>'WRA Worksheet'!C9</f>
        <v>n</v>
      </c>
      <c r="D9" s="82">
        <f>'WRA Worksheet'!D9</f>
        <v>0</v>
      </c>
    </row>
    <row r="10" spans="1:4" ht="32" x14ac:dyDescent="0.2">
      <c r="A10" s="74">
        <v>2.0499999999999998</v>
      </c>
      <c r="B10" s="75" t="s">
        <v>24</v>
      </c>
      <c r="C10" s="79" t="str">
        <f>'WRA Worksheet'!C10</f>
        <v>y</v>
      </c>
      <c r="D10" s="83"/>
    </row>
    <row r="11" spans="1:4" ht="16" x14ac:dyDescent="0.2">
      <c r="A11" s="74">
        <v>3.01</v>
      </c>
      <c r="B11" s="75" t="s">
        <v>28</v>
      </c>
      <c r="C11" s="76" t="str">
        <f>'WRA Worksheet'!C11</f>
        <v>y</v>
      </c>
      <c r="D11" s="82">
        <f>'WRA Worksheet'!D11</f>
        <v>2</v>
      </c>
    </row>
    <row r="12" spans="1:4" ht="16" x14ac:dyDescent="0.2">
      <c r="A12" s="74">
        <v>3.02</v>
      </c>
      <c r="B12" s="75" t="s">
        <v>29</v>
      </c>
      <c r="C12" s="76" t="str">
        <f>'WRA Worksheet'!C12</f>
        <v>y</v>
      </c>
      <c r="D12" s="82">
        <f>'WRA Worksheet'!D12</f>
        <v>2</v>
      </c>
    </row>
    <row r="13" spans="1:4" ht="16" x14ac:dyDescent="0.2">
      <c r="A13" s="74">
        <v>3.03</v>
      </c>
      <c r="B13" s="75" t="s">
        <v>32</v>
      </c>
      <c r="C13" s="76" t="str">
        <f>'WRA Worksheet'!C13</f>
        <v>n</v>
      </c>
      <c r="D13" s="82">
        <f>'WRA Worksheet'!D13</f>
        <v>0</v>
      </c>
    </row>
    <row r="14" spans="1:4" ht="16" x14ac:dyDescent="0.2">
      <c r="A14" s="74">
        <v>3.04</v>
      </c>
      <c r="B14" s="75" t="s">
        <v>33</v>
      </c>
      <c r="C14" s="76" t="str">
        <f>'WRA Worksheet'!C14</f>
        <v>y</v>
      </c>
      <c r="D14" s="82">
        <f>'WRA Worksheet'!D14</f>
        <v>4</v>
      </c>
    </row>
    <row r="15" spans="1:4" ht="16" x14ac:dyDescent="0.2">
      <c r="A15" s="74">
        <v>3.05</v>
      </c>
      <c r="B15" s="75" t="s">
        <v>34</v>
      </c>
      <c r="C15" s="76" t="str">
        <f>'WRA Worksheet'!C15</f>
        <v>?</v>
      </c>
      <c r="D15" s="82" t="str">
        <f>'WRA Worksheet'!D15</f>
        <v/>
      </c>
    </row>
    <row r="16" spans="1:4" ht="16" x14ac:dyDescent="0.2">
      <c r="A16" s="74">
        <v>4.01</v>
      </c>
      <c r="B16" s="75" t="s">
        <v>37</v>
      </c>
      <c r="C16" s="76" t="str">
        <f>'WRA Worksheet'!C16</f>
        <v>n</v>
      </c>
      <c r="D16" s="82">
        <f>'WRA Worksheet'!D16</f>
        <v>0</v>
      </c>
    </row>
    <row r="17" spans="1:4" ht="16" x14ac:dyDescent="0.2">
      <c r="A17" s="74">
        <v>4.0199999999999996</v>
      </c>
      <c r="B17" s="75" t="s">
        <v>38</v>
      </c>
      <c r="C17" s="76" t="str">
        <f>'WRA Worksheet'!C17</f>
        <v>n</v>
      </c>
      <c r="D17" s="82">
        <f>'WRA Worksheet'!D17</f>
        <v>0</v>
      </c>
    </row>
    <row r="18" spans="1:4" ht="16" x14ac:dyDescent="0.2">
      <c r="A18" s="74">
        <v>4.03</v>
      </c>
      <c r="B18" s="75" t="s">
        <v>39</v>
      </c>
      <c r="C18" s="76" t="str">
        <f>'WRA Worksheet'!C18</f>
        <v>n</v>
      </c>
      <c r="D18" s="82">
        <f>'WRA Worksheet'!D18</f>
        <v>0</v>
      </c>
    </row>
    <row r="19" spans="1:4" ht="16" x14ac:dyDescent="0.2">
      <c r="A19" s="74">
        <v>4.04</v>
      </c>
      <c r="B19" s="75" t="s">
        <v>40</v>
      </c>
      <c r="C19" s="76" t="str">
        <f>'WRA Worksheet'!C19</f>
        <v>?</v>
      </c>
      <c r="D19" s="82" t="str">
        <f>'WRA Worksheet'!D19</f>
        <v xml:space="preserve"> </v>
      </c>
    </row>
    <row r="20" spans="1:4" ht="16" x14ac:dyDescent="0.2">
      <c r="A20" s="74">
        <v>4.05</v>
      </c>
      <c r="B20" s="75" t="s">
        <v>41</v>
      </c>
      <c r="C20" s="76" t="str">
        <f>'WRA Worksheet'!C20</f>
        <v>n</v>
      </c>
      <c r="D20" s="82">
        <f>'WRA Worksheet'!D20</f>
        <v>0</v>
      </c>
    </row>
    <row r="21" spans="1:4" ht="16" x14ac:dyDescent="0.2">
      <c r="A21" s="74">
        <v>4.0599999999999996</v>
      </c>
      <c r="B21" s="75" t="s">
        <v>42</v>
      </c>
      <c r="C21" s="76" t="str">
        <f>'WRA Worksheet'!C21</f>
        <v>y</v>
      </c>
      <c r="D21" s="82">
        <f>'WRA Worksheet'!D21</f>
        <v>1</v>
      </c>
    </row>
    <row r="22" spans="1:4" ht="16" x14ac:dyDescent="0.2">
      <c r="A22" s="74">
        <v>4.07</v>
      </c>
      <c r="B22" s="75" t="s">
        <v>45</v>
      </c>
      <c r="C22" s="76" t="str">
        <f>'WRA Worksheet'!C22</f>
        <v>n</v>
      </c>
      <c r="D22" s="82">
        <f>'WRA Worksheet'!D22</f>
        <v>0</v>
      </c>
    </row>
    <row r="23" spans="1:4" ht="16" x14ac:dyDescent="0.2">
      <c r="A23" s="74">
        <v>4.08</v>
      </c>
      <c r="B23" s="75" t="s">
        <v>46</v>
      </c>
      <c r="C23" s="76" t="str">
        <f>'WRA Worksheet'!C23</f>
        <v>n</v>
      </c>
      <c r="D23" s="82">
        <f>'WRA Worksheet'!D23</f>
        <v>0</v>
      </c>
    </row>
    <row r="24" spans="1:4" ht="16" x14ac:dyDescent="0.2">
      <c r="A24" s="74">
        <v>4.09</v>
      </c>
      <c r="B24" s="75" t="s">
        <v>49</v>
      </c>
      <c r="C24" s="76" t="str">
        <f>'WRA Worksheet'!C24</f>
        <v>y</v>
      </c>
      <c r="D24" s="82">
        <f>'WRA Worksheet'!D24</f>
        <v>1</v>
      </c>
    </row>
    <row r="25" spans="1:4" ht="32" x14ac:dyDescent="0.2">
      <c r="A25" s="74">
        <v>4.0999999999999996</v>
      </c>
      <c r="B25" s="80" t="s">
        <v>51</v>
      </c>
      <c r="C25" s="76" t="str">
        <f>'WRA Worksheet'!C25</f>
        <v>n</v>
      </c>
      <c r="D25" s="82">
        <f>'WRA Worksheet'!D25</f>
        <v>0</v>
      </c>
    </row>
    <row r="26" spans="1:4" ht="16" x14ac:dyDescent="0.2">
      <c r="A26" s="74">
        <v>4.1100000000000003</v>
      </c>
      <c r="B26" s="75" t="s">
        <v>54</v>
      </c>
      <c r="C26" s="76" t="str">
        <f>'WRA Worksheet'!C26</f>
        <v>n</v>
      </c>
      <c r="D26" s="82">
        <f>'WRA Worksheet'!D26</f>
        <v>0</v>
      </c>
    </row>
    <row r="27" spans="1:4" ht="16" x14ac:dyDescent="0.2">
      <c r="A27" s="74">
        <v>4.12</v>
      </c>
      <c r="B27" s="75" t="s">
        <v>55</v>
      </c>
      <c r="C27" s="76" t="str">
        <f>'WRA Worksheet'!C27</f>
        <v>n</v>
      </c>
      <c r="D27" s="82">
        <f>'WRA Worksheet'!D27</f>
        <v>0</v>
      </c>
    </row>
    <row r="28" spans="1:4" ht="16" x14ac:dyDescent="0.2">
      <c r="A28" s="74">
        <v>5.01</v>
      </c>
      <c r="B28" s="75" t="s">
        <v>56</v>
      </c>
      <c r="C28" s="76" t="str">
        <f>'WRA Worksheet'!C28</f>
        <v>n</v>
      </c>
      <c r="D28" s="82">
        <f>'WRA Worksheet'!D28</f>
        <v>0</v>
      </c>
    </row>
    <row r="29" spans="1:4" ht="16" x14ac:dyDescent="0.2">
      <c r="A29" s="74">
        <v>5.0199999999999996</v>
      </c>
      <c r="B29" s="75" t="s">
        <v>59</v>
      </c>
      <c r="C29" s="76" t="str">
        <f>'WRA Worksheet'!C29</f>
        <v>n</v>
      </c>
      <c r="D29" s="82">
        <f>'WRA Worksheet'!D29</f>
        <v>0</v>
      </c>
    </row>
    <row r="30" spans="1:4" ht="16" x14ac:dyDescent="0.2">
      <c r="A30" s="74">
        <v>5.03</v>
      </c>
      <c r="B30" s="75" t="s">
        <v>61</v>
      </c>
      <c r="C30" s="76" t="str">
        <f>'WRA Worksheet'!C30</f>
        <v>n</v>
      </c>
      <c r="D30" s="82">
        <f>'WRA Worksheet'!D30</f>
        <v>0</v>
      </c>
    </row>
    <row r="31" spans="1:4" ht="16" x14ac:dyDescent="0.2">
      <c r="A31" s="74">
        <v>5.04</v>
      </c>
      <c r="B31" s="75" t="s">
        <v>62</v>
      </c>
      <c r="C31" s="76" t="str">
        <f>'WRA Worksheet'!C31</f>
        <v>y</v>
      </c>
      <c r="D31" s="82">
        <f>'WRA Worksheet'!D31</f>
        <v>1</v>
      </c>
    </row>
    <row r="32" spans="1:4" ht="16" x14ac:dyDescent="0.2">
      <c r="A32" s="74">
        <v>6.01</v>
      </c>
      <c r="B32" s="75" t="s">
        <v>65</v>
      </c>
      <c r="C32" s="76" t="str">
        <f>'WRA Worksheet'!C32</f>
        <v>?</v>
      </c>
      <c r="D32" s="82" t="str">
        <f>'WRA Worksheet'!D32</f>
        <v xml:space="preserve"> </v>
      </c>
    </row>
    <row r="33" spans="1:4" ht="16" x14ac:dyDescent="0.2">
      <c r="A33" s="74">
        <v>6.02</v>
      </c>
      <c r="B33" s="75" t="s">
        <v>68</v>
      </c>
      <c r="C33" s="76" t="str">
        <f>'WRA Worksheet'!C33</f>
        <v>y</v>
      </c>
      <c r="D33" s="82">
        <f>'WRA Worksheet'!D33</f>
        <v>1</v>
      </c>
    </row>
    <row r="34" spans="1:4" ht="16" x14ac:dyDescent="0.2">
      <c r="A34" s="74">
        <v>6.03</v>
      </c>
      <c r="B34" s="75" t="s">
        <v>71</v>
      </c>
      <c r="C34" s="76" t="str">
        <f>'WRA Worksheet'!C34</f>
        <v>?</v>
      </c>
      <c r="D34" s="82" t="str">
        <f>'WRA Worksheet'!D34</f>
        <v xml:space="preserve"> </v>
      </c>
    </row>
    <row r="35" spans="1:4" ht="16" x14ac:dyDescent="0.2">
      <c r="A35" s="74">
        <v>6.04</v>
      </c>
      <c r="B35" s="75" t="s">
        <v>74</v>
      </c>
      <c r="C35" s="76" t="str">
        <f>'WRA Worksheet'!C35</f>
        <v>y</v>
      </c>
      <c r="D35" s="82">
        <f>'WRA Worksheet'!D35</f>
        <v>1</v>
      </c>
    </row>
    <row r="36" spans="1:4" ht="16" x14ac:dyDescent="0.2">
      <c r="A36" s="74">
        <v>6.05</v>
      </c>
      <c r="B36" s="75" t="s">
        <v>75</v>
      </c>
      <c r="C36" s="76" t="str">
        <f>'WRA Worksheet'!C36</f>
        <v>n</v>
      </c>
      <c r="D36" s="82">
        <f>'WRA Worksheet'!D36</f>
        <v>0</v>
      </c>
    </row>
    <row r="37" spans="1:4" ht="16" x14ac:dyDescent="0.2">
      <c r="A37" s="74">
        <v>6.06</v>
      </c>
      <c r="B37" s="75" t="s">
        <v>78</v>
      </c>
      <c r="C37" s="76" t="str">
        <f>'WRA Worksheet'!C37</f>
        <v>y</v>
      </c>
      <c r="D37" s="82">
        <f>'WRA Worksheet'!D37</f>
        <v>1</v>
      </c>
    </row>
    <row r="38" spans="1:4" ht="16" x14ac:dyDescent="0.2">
      <c r="A38" s="74">
        <v>6.07</v>
      </c>
      <c r="B38" s="75" t="s">
        <v>81</v>
      </c>
      <c r="C38" s="81" t="str">
        <f>'WRA Worksheet'!C38</f>
        <v>1 or fewer</v>
      </c>
      <c r="D38" s="82">
        <f>'WRA Worksheet'!D38</f>
        <v>1</v>
      </c>
    </row>
    <row r="39" spans="1:4" ht="32" x14ac:dyDescent="0.2">
      <c r="A39" s="74">
        <v>7.01</v>
      </c>
      <c r="B39" s="75" t="s">
        <v>85</v>
      </c>
      <c r="C39" s="76" t="str">
        <f>'WRA Worksheet'!C39</f>
        <v>y</v>
      </c>
      <c r="D39" s="82">
        <f>'WRA Worksheet'!D39</f>
        <v>1</v>
      </c>
    </row>
    <row r="40" spans="1:4" ht="16" x14ac:dyDescent="0.2">
      <c r="A40" s="74">
        <v>7.02</v>
      </c>
      <c r="B40" s="75" t="s">
        <v>88</v>
      </c>
      <c r="C40" s="76" t="str">
        <f>'WRA Worksheet'!C40</f>
        <v>y</v>
      </c>
      <c r="D40" s="82">
        <f>'WRA Worksheet'!D40</f>
        <v>1</v>
      </c>
    </row>
    <row r="41" spans="1:4" ht="16" x14ac:dyDescent="0.2">
      <c r="A41" s="74">
        <v>7.03</v>
      </c>
      <c r="B41" s="75" t="s">
        <v>91</v>
      </c>
      <c r="C41" s="76" t="str">
        <f>'WRA Worksheet'!C41</f>
        <v>n</v>
      </c>
      <c r="D41" s="82">
        <f>'WRA Worksheet'!D41</f>
        <v>-1</v>
      </c>
    </row>
    <row r="42" spans="1:4" ht="16" x14ac:dyDescent="0.2">
      <c r="A42" s="74">
        <v>7.04</v>
      </c>
      <c r="B42" s="75" t="s">
        <v>92</v>
      </c>
      <c r="C42" s="76" t="str">
        <f>'WRA Worksheet'!C42</f>
        <v>y</v>
      </c>
      <c r="D42" s="82">
        <f>'WRA Worksheet'!D42</f>
        <v>1</v>
      </c>
    </row>
    <row r="43" spans="1:4" ht="16" x14ac:dyDescent="0.2">
      <c r="A43" s="74">
        <v>7.05</v>
      </c>
      <c r="B43" s="75" t="s">
        <v>95</v>
      </c>
      <c r="C43" s="76" t="str">
        <f>'WRA Worksheet'!C43</f>
        <v>n</v>
      </c>
      <c r="D43" s="82">
        <f>'WRA Worksheet'!D43</f>
        <v>-1</v>
      </c>
    </row>
    <row r="44" spans="1:4" ht="16" x14ac:dyDescent="0.2">
      <c r="A44" s="74">
        <v>7.06</v>
      </c>
      <c r="B44" s="75" t="s">
        <v>96</v>
      </c>
      <c r="C44" s="76" t="str">
        <f>'WRA Worksheet'!C44</f>
        <v>n</v>
      </c>
      <c r="D44" s="82">
        <f>'WRA Worksheet'!D44</f>
        <v>-1</v>
      </c>
    </row>
    <row r="45" spans="1:4" ht="16" x14ac:dyDescent="0.2">
      <c r="A45" s="74">
        <v>7.07</v>
      </c>
      <c r="B45" s="75" t="s">
        <v>97</v>
      </c>
      <c r="C45" s="76" t="str">
        <f>'WRA Worksheet'!C45</f>
        <v>n</v>
      </c>
      <c r="D45" s="82">
        <f>'WRA Worksheet'!D45</f>
        <v>-1</v>
      </c>
    </row>
    <row r="46" spans="1:4" ht="16" x14ac:dyDescent="0.2">
      <c r="A46" s="74">
        <v>7.08</v>
      </c>
      <c r="B46" s="75" t="s">
        <v>98</v>
      </c>
      <c r="C46" s="76" t="str">
        <f>'WRA Worksheet'!C46</f>
        <v>n</v>
      </c>
      <c r="D46" s="82">
        <f>'WRA Worksheet'!D46</f>
        <v>-1</v>
      </c>
    </row>
    <row r="47" spans="1:4" ht="16" x14ac:dyDescent="0.2">
      <c r="A47" s="74">
        <v>8.01</v>
      </c>
      <c r="B47" s="75" t="s">
        <v>99</v>
      </c>
      <c r="C47" s="76" t="str">
        <f>'WRA Worksheet'!C47</f>
        <v>y</v>
      </c>
      <c r="D47" s="82">
        <f>'WRA Worksheet'!D47</f>
        <v>1</v>
      </c>
    </row>
    <row r="48" spans="1:4" ht="16" x14ac:dyDescent="0.2">
      <c r="A48" s="74">
        <v>8.02</v>
      </c>
      <c r="B48" s="75" t="s">
        <v>102</v>
      </c>
      <c r="C48" s="76" t="str">
        <f>'WRA Worksheet'!C48</f>
        <v>?</v>
      </c>
      <c r="D48" s="82" t="str">
        <f>'WRA Worksheet'!D48</f>
        <v xml:space="preserve"> </v>
      </c>
    </row>
    <row r="49" spans="1:4" ht="16" x14ac:dyDescent="0.2">
      <c r="A49" s="74">
        <v>8.0299999999999994</v>
      </c>
      <c r="B49" s="75" t="s">
        <v>105</v>
      </c>
      <c r="C49" s="76" t="str">
        <f>'WRA Worksheet'!C49</f>
        <v>?</v>
      </c>
      <c r="D49" s="82" t="str">
        <f>'WRA Worksheet'!D49</f>
        <v xml:space="preserve"> </v>
      </c>
    </row>
    <row r="50" spans="1:4" ht="16" x14ac:dyDescent="0.2">
      <c r="A50" s="74">
        <v>8.0399999999999991</v>
      </c>
      <c r="B50" s="75" t="s">
        <v>106</v>
      </c>
      <c r="C50" s="76" t="str">
        <f>'WRA Worksheet'!C50</f>
        <v>y</v>
      </c>
      <c r="D50" s="82">
        <f>'WRA Worksheet'!D50</f>
        <v>1</v>
      </c>
    </row>
    <row r="51" spans="1:4" ht="16" x14ac:dyDescent="0.2">
      <c r="A51" s="74">
        <v>8.0500000000000007</v>
      </c>
      <c r="B51" s="67" t="s">
        <v>109</v>
      </c>
      <c r="C51" s="76" t="str">
        <f>'WRA Worksheet'!C51</f>
        <v>y</v>
      </c>
      <c r="D51" s="82">
        <f>'WRA Worksheet'!D51</f>
        <v>-1</v>
      </c>
    </row>
    <row r="52" spans="1:4" ht="16" x14ac:dyDescent="0.2">
      <c r="A52" s="31"/>
      <c r="B52" s="32" t="s">
        <v>112</v>
      </c>
      <c r="C52" s="152">
        <f>'WRA Worksheet'!D53</f>
        <v>14</v>
      </c>
      <c r="D52" s="152"/>
    </row>
    <row r="53" spans="1:4" ht="16" x14ac:dyDescent="0.2">
      <c r="A53" s="33"/>
      <c r="B53" s="34" t="s">
        <v>163</v>
      </c>
      <c r="C53" s="152" t="str" cm="1">
        <f t="array" ref="C53">IF(OR('WRA Worksheet'!C71:D71="yes", 'WRA Worksheet'!C72:D72="yes", 'WRA Worksheet'!C73:D73="yes"),"yes","no")</f>
        <v>no</v>
      </c>
      <c r="D53" s="152"/>
    </row>
    <row r="54" spans="1:4" ht="16" x14ac:dyDescent="0.2">
      <c r="A54" s="33"/>
      <c r="B54" s="34" t="s">
        <v>164</v>
      </c>
      <c r="C54" s="152" t="str">
        <f>IF(C53="yes", 'WRA Worksheet'!C74, 'WRA Worksheet'!D54)</f>
        <v>reject</v>
      </c>
      <c r="D54" s="152"/>
    </row>
    <row r="55" spans="1:4" ht="16" thickBot="1" x14ac:dyDescent="0.25">
      <c r="A55" s="35"/>
      <c r="B55" s="36"/>
      <c r="C55" s="36"/>
      <c r="D55" s="37"/>
    </row>
    <row r="56" spans="1:4" ht="31" thickTop="1" x14ac:dyDescent="0.2">
      <c r="A56" s="38" t="s">
        <v>165</v>
      </c>
      <c r="B56" s="39" t="s">
        <v>166</v>
      </c>
      <c r="C56" s="40" t="s">
        <v>116</v>
      </c>
      <c r="D56" s="37"/>
    </row>
    <row r="57" spans="1:4" x14ac:dyDescent="0.2">
      <c r="A57" s="41" t="s">
        <v>117</v>
      </c>
      <c r="B57" s="42">
        <f>'WRA Worksheet'!C57</f>
        <v>10</v>
      </c>
      <c r="C57" s="43" t="str">
        <f>IF(B57&gt;=2,"yes","no")</f>
        <v>yes</v>
      </c>
      <c r="D57" s="37"/>
    </row>
    <row r="58" spans="1:4" x14ac:dyDescent="0.2">
      <c r="A58" s="41" t="s">
        <v>118</v>
      </c>
      <c r="B58" s="42">
        <f>'WRA Worksheet'!C58</f>
        <v>11</v>
      </c>
      <c r="C58" s="43" t="str">
        <f>IF(B58&gt;=2,"yes","no")</f>
        <v>yes</v>
      </c>
      <c r="D58" s="37"/>
    </row>
    <row r="59" spans="1:4" x14ac:dyDescent="0.2">
      <c r="A59" s="41" t="s">
        <v>119</v>
      </c>
      <c r="B59" s="42">
        <f>'WRA Worksheet'!C59</f>
        <v>19</v>
      </c>
      <c r="C59" s="43" t="str">
        <f>IF(B59&gt;=6,"yes","no")</f>
        <v>yes</v>
      </c>
      <c r="D59" s="37"/>
    </row>
    <row r="60" spans="1:4" ht="16" thickBot="1" x14ac:dyDescent="0.25">
      <c r="A60" s="44" t="s">
        <v>120</v>
      </c>
      <c r="B60" s="45">
        <f>'WRA Worksheet'!C60</f>
        <v>40</v>
      </c>
      <c r="C60" s="46" t="str">
        <f>IF(C57="no","no",IF(C58="no","no",IF(C59="no","no","yes")))</f>
        <v>yes</v>
      </c>
      <c r="D60" s="37"/>
    </row>
    <row r="61" spans="1:4" ht="16" thickTop="1" x14ac:dyDescent="0.2"/>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baseColWidth="10" defaultColWidth="8.83203125" defaultRowHeight="15" x14ac:dyDescent="0.2"/>
  <cols>
    <col min="1" max="1" width="5" customWidth="1"/>
    <col min="2" max="3" width="49.5" customWidth="1"/>
  </cols>
  <sheetData>
    <row r="1" spans="1:3" ht="28.5" customHeight="1" x14ac:dyDescent="0.2">
      <c r="A1" s="47"/>
      <c r="B1" s="48" t="s">
        <v>8</v>
      </c>
      <c r="C1" s="49" t="s">
        <v>9</v>
      </c>
    </row>
    <row r="2" spans="1:3" x14ac:dyDescent="0.2">
      <c r="A2" s="30">
        <v>1.01</v>
      </c>
      <c r="B2" s="50" t="str" cm="1">
        <f t="array" ref="B2:C50">'WRA Worksheet'!F3:G51</f>
        <v>No evidence.</v>
      </c>
      <c r="C2" s="51">
        <v>0</v>
      </c>
    </row>
    <row r="3" spans="1:3" x14ac:dyDescent="0.2">
      <c r="A3" s="30">
        <v>1.02</v>
      </c>
      <c r="B3" s="50">
        <v>0</v>
      </c>
      <c r="C3" s="50">
        <v>0</v>
      </c>
    </row>
    <row r="4" spans="1:3" x14ac:dyDescent="0.2">
      <c r="A4" s="30">
        <v>1.03</v>
      </c>
      <c r="B4" s="50">
        <v>0</v>
      </c>
      <c r="C4" s="50">
        <v>0</v>
      </c>
    </row>
    <row r="5" spans="1:3" ht="32" x14ac:dyDescent="0.2">
      <c r="A5" s="30">
        <v>2.0099999999999998</v>
      </c>
      <c r="B5" s="52" t="str">
        <v>Taxon is well suited to South Zone and moderately suited to Central Florida.</v>
      </c>
      <c r="C5" s="53" t="str">
        <v>See climate suitability maps.</v>
      </c>
    </row>
    <row r="6" spans="1:3" ht="16" x14ac:dyDescent="0.2">
      <c r="A6" s="30">
        <v>2.02</v>
      </c>
      <c r="B6" s="53" t="str">
        <v>See climate suitability maps.</v>
      </c>
      <c r="C6" s="54">
        <v>0</v>
      </c>
    </row>
    <row r="7" spans="1:3" ht="30" x14ac:dyDescent="0.2">
      <c r="A7" s="30">
        <v>2.0299999999999998</v>
      </c>
      <c r="B7" s="54" t="str">
        <v>Taxon is suited to the tropics and only moderately the subtropics. See climate suitability map.</v>
      </c>
      <c r="C7" s="53">
        <v>0</v>
      </c>
    </row>
    <row r="8" spans="1:3" ht="96" x14ac:dyDescent="0.2">
      <c r="A8" s="30">
        <v>2.04</v>
      </c>
      <c r="B8" s="51" t="str">
        <v>Taxon does not tolerate flooding well (1)(2).
"Originally from Southeast Asia, the Philippine ground orchid makes a great groundcover for well-drained soil that does not flood (1)."
"Grows best on moist well-drained soils. Prefers full sun and moderate amount of water (2)."</v>
      </c>
      <c r="C8" s="51" t="str">
        <v>(1) https://blogs.ifas.ufl.edu/charlotteco/2024/02/12/spathoglottis-a-beautiful-terrestrial-orchid/
(2) https://www.socfindoconservation.co.id/plant/695?lang=en (3) https://powo.science.kew.org/taxon/urn:lsid:ipni.org:names:658073-1#synonyms</v>
      </c>
    </row>
    <row r="9" spans="1:3" ht="112" x14ac:dyDescent="0.2">
      <c r="A9" s="30">
        <v>2.0499999999999998</v>
      </c>
      <c r="B9" s="51" t="str">
        <v>Taxon has a history of repeated introductions outside of its native range and has become naturalized throughout tropical and subtropical regions (1)(2).
"Spathoglottis plicata, commonly known as the Philippine Ground Orchid, is widely distributed in South East Asia and has escaped cultivation to become naturalized throughout the Caribbean, Florida, and Hawaii (1)." Native to tropical Asia and Oceania. Introduced to the Caribbean, Hawaii, and Florida (3)</v>
      </c>
      <c r="C9" s="53" t="str">
        <v>(1) https://goorchids.northamericanorchidcenter.org/species/spathoglottis/plicata/
(2) https://www.pbs.org/wgbh/nova/orchid/gall_12.html</v>
      </c>
    </row>
    <row r="10" spans="1:3" ht="112" x14ac:dyDescent="0.2">
      <c r="A10" s="30">
        <v>3.01</v>
      </c>
      <c r="B10" s="51" t="str">
        <v>Taxon has a history of repeated introductions outside of its native range and has become naturalized throughout tropical and subtropical regions (1)(2).
"Spathoglottis plicata, commonly known as the Philippine Ground Orchid, is widely distributed in South East Asia and has escaped cultivation to become naturalized throughout the Caribbean, Florida, and Hawaii (1)."</v>
      </c>
      <c r="C10" s="53" t="str">
        <v>(1) https://goorchids.northamericanorchidcenter.org/species/spathoglottis/plicata/
(2) https://www.pbs.org/wgbh/nova/orchid/gall_12.html</v>
      </c>
    </row>
    <row r="11" spans="1:3" ht="64" x14ac:dyDescent="0.2">
      <c r="A11" s="30">
        <v>3.02</v>
      </c>
      <c r="B11" s="50" t="str">
        <v>Taxon grows well in disturbed areas (1)(2).
"S. plicata was among the first plants to recolonize the land around Mt. Krakatoa after this mighty volcano exploded in 1883 and decimated the Indonesian island of Krakatau (1)."</v>
      </c>
      <c r="C11" s="53" t="str">
        <v>(1) https://www.pbs.org/wgbh/nova/orchid/gall_12.html
(2) https://fsus.ncbg.unc.edu/main.php?pg=show-taxon.php&amp;plantname=Spathoglottis+plicata</v>
      </c>
    </row>
    <row r="12" spans="1:3" x14ac:dyDescent="0.2">
      <c r="A12" s="30">
        <v>3.03</v>
      </c>
      <c r="B12" s="50" t="str">
        <v>No evidence.</v>
      </c>
      <c r="C12" s="53">
        <v>0</v>
      </c>
    </row>
    <row r="13" spans="1:3" ht="112" x14ac:dyDescent="0.2">
      <c r="A13" s="30">
        <v>3.04</v>
      </c>
      <c r="B13" s="51" t="str">
        <v>"The conservation status for Spathoglottis plicata has not been determined, but it is listed as an environmental weed in Hawaii that can be invasive in sensitive habitats (1)."
Shown to spread quickly and negatively affect native orchids in Puerto Rico (2). Listed as behaving invasive in natural areas in Puerto Rico and the Bahamas (3).</v>
      </c>
      <c r="C13" s="53" t="str">
        <v>(1) https://goorchids.northamericanorchidcenter.org/species/spathoglottis/plicata/
(2) Recart, W., Ackerman, J. D., &amp; Cuevas, A. A. (2013). There goes the neighborhood: apparent competition between invasive and native orchids mediated by a specialist florivorous weevil. Biological Invasions, 15(2), 283-293. (3) Laginhas, B. B., Bradley, B. A., &amp; Bradley, B. (2020). Global Plant Invaders: a compendium of invasive plant taxa documented by the peer-reviwed literature.</v>
      </c>
    </row>
    <row r="14" spans="1:3" ht="32" x14ac:dyDescent="0.2">
      <c r="A14" s="30">
        <v>3.05</v>
      </c>
      <c r="B14" s="51" t="str">
        <v>Spathoglottis unguiculata is listed as a plant with invaisive traits (1). Not enough supporting evidence found.</v>
      </c>
      <c r="C14" s="53" t="str">
        <v>(1) https://plantpono.org/wp-content/uploads/Spathoglottis-unguiculata.pdf</v>
      </c>
    </row>
    <row r="15" spans="1:3" x14ac:dyDescent="0.2">
      <c r="A15" s="30">
        <v>4.01</v>
      </c>
      <c r="B15" s="50" t="str">
        <v>No evidence.</v>
      </c>
      <c r="C15" s="55">
        <v>0</v>
      </c>
    </row>
    <row r="16" spans="1:3" ht="16" x14ac:dyDescent="0.2">
      <c r="A16" s="30">
        <v>4.0199999999999996</v>
      </c>
      <c r="B16" s="51" t="str">
        <v>No evidence.</v>
      </c>
      <c r="C16" s="51">
        <v>0</v>
      </c>
    </row>
    <row r="17" spans="1:3" ht="16" x14ac:dyDescent="0.2">
      <c r="A17" s="30">
        <v>4.03</v>
      </c>
      <c r="B17" s="51" t="str">
        <v>No evidence.</v>
      </c>
      <c r="C17" s="51">
        <v>0</v>
      </c>
    </row>
    <row r="18" spans="1:3" ht="16" x14ac:dyDescent="0.2">
      <c r="A18" s="30">
        <v>4.04</v>
      </c>
      <c r="B18" s="51" t="str">
        <v>No evidence.</v>
      </c>
      <c r="C18" s="51">
        <v>0</v>
      </c>
    </row>
    <row r="19" spans="1:3" ht="16" x14ac:dyDescent="0.2">
      <c r="A19" s="30">
        <v>4.05</v>
      </c>
      <c r="B19" s="51" t="str">
        <v>No evidence.</v>
      </c>
      <c r="C19" s="51">
        <v>0</v>
      </c>
    </row>
    <row r="20" spans="1:3" ht="176" x14ac:dyDescent="0.2">
      <c r="A20" s="30">
        <v>4.0599999999999996</v>
      </c>
      <c r="B20" s="51" t="str">
        <v>Taxon is vulnerable to common pest pathogens (1)(2)(3).
"Common pests of the philippine ground orchid include Spider mites, thrips (2)."</v>
      </c>
      <c r="C20" s="51" t="str">
        <v>(1) Recart, W., Ackerman, J.D. &amp; Cuevas, A.A. There goes the neighborhood: apparent competition between invasive and native orchids mediated by a specialist florivorous weevil. Biol Invasions 15, 283–293 (2013). https://doi.org/10.1007/s10530-012-0283-0
(2) https://plantiary.com/plant/spathoglottis-plicata_6151.html
(3) https://everydayorchids.com/spathoglottis-orchids-care-guide-2112r/</v>
      </c>
    </row>
    <row r="21" spans="1:3" ht="16" x14ac:dyDescent="0.2">
      <c r="A21" s="30">
        <v>4.07</v>
      </c>
      <c r="B21" s="51" t="str">
        <v>No evidence.</v>
      </c>
      <c r="C21" s="51">
        <v>0</v>
      </c>
    </row>
    <row r="22" spans="1:3" ht="48" x14ac:dyDescent="0.2">
      <c r="A22" s="30">
        <v>4.08</v>
      </c>
      <c r="B22" s="51" t="str">
        <v>"Fire: The habitat where the native species of Spathoglottis grow is usually too wet to burn. If fire does occur the plants will usually be destroyed (1)."</v>
      </c>
      <c r="C22" s="53" t="str">
        <v>(1) https://www.anbg.gov.au/cpbr/cd-keys/RFKOrchids/key/rfkorchids/Media/Html/genera/Spathoglottis.htm</v>
      </c>
    </row>
    <row r="23" spans="1:3" ht="96" x14ac:dyDescent="0.2">
      <c r="A23" s="30">
        <v>4.09</v>
      </c>
      <c r="B23" s="51" t="str">
        <v>Taxon tolerates shade well (1)(2).
"Recommendations for sun exposure vary from full-sun to full-shade, but most agree that partial-shade is acceptable and best for our area (1)."</v>
      </c>
      <c r="C23" s="51" t="str">
        <v>(1) https://blogs.ifas.ufl.edu/charlotteco/2024/02/12/spathoglottis-a-beautiful-terrestrial-orchid/
(2) https://www.socfindoconservation.co.id/plant/695?lang=en</v>
      </c>
    </row>
    <row r="24" spans="1:3" ht="64" x14ac:dyDescent="0.2">
      <c r="A24" s="30">
        <v>4.0999999999999996</v>
      </c>
      <c r="B24" s="51" t="str">
        <v>Taxon grows best in nutrient-rich soil (1).
"Make sure that you enrich the soil with organic matter prior to planting to accommodate the well-developed root system (1)."</v>
      </c>
      <c r="C24" s="51" t="str">
        <v>(1) https://blogs.ifas.ufl.edu/charlotteco/2024/02/12/spathoglottis-a-beautiful-terrestrial-orchid/</v>
      </c>
    </row>
    <row r="25" spans="1:3" ht="16" x14ac:dyDescent="0.2">
      <c r="A25" s="30">
        <v>4.1100000000000003</v>
      </c>
      <c r="B25" s="51" t="str">
        <v>No evidence.</v>
      </c>
      <c r="C25" s="51">
        <v>0</v>
      </c>
    </row>
    <row r="26" spans="1:3" ht="16" x14ac:dyDescent="0.2">
      <c r="A26" s="30">
        <v>4.12</v>
      </c>
      <c r="B26" s="51" t="str">
        <v>No evidence.</v>
      </c>
      <c r="C26" s="51">
        <v>0</v>
      </c>
    </row>
    <row r="27" spans="1:3" ht="80" x14ac:dyDescent="0.2">
      <c r="A27" s="30">
        <v>5.01</v>
      </c>
      <c r="B27" s="51" t="str">
        <v>Taxon is a terrestrial plant (1).
"Spathoglottis, commonly known as ground or purple orchids, are tropical, terrestrial plants with vivid, grass-like foliage and jewel-toned flowers that bloom over a long season (1)."</v>
      </c>
      <c r="C27" s="51" t="str">
        <v>(1) https://gardenerspath.com/plants/flowers/grow-spathoglottis-orchids/#:~:text=Water.%20Spathoglottis%20like%20their%20soil%20to%20remain,dry%20out%20completely%20will%20stress%20the%20plant.</v>
      </c>
    </row>
    <row r="28" spans="1:3" ht="16" x14ac:dyDescent="0.2">
      <c r="A28" s="30">
        <v>5.0199999999999996</v>
      </c>
      <c r="B28" s="51" t="str">
        <v>Not of the Poaceae family.</v>
      </c>
      <c r="C28" s="51">
        <v>0</v>
      </c>
    </row>
    <row r="29" spans="1:3" ht="16" x14ac:dyDescent="0.2">
      <c r="A29" s="30">
        <v>5.03</v>
      </c>
      <c r="B29" s="51" t="str">
        <v>No evidence.</v>
      </c>
      <c r="C29" s="51">
        <v>0</v>
      </c>
    </row>
    <row r="30" spans="1:3" ht="144" x14ac:dyDescent="0.2">
      <c r="A30" s="30">
        <v>5.04</v>
      </c>
      <c r="B30" s="51" t="str">
        <v>Taxon grows nutrient storage organs called pseudobulbs (1)(2).
"Over time, large clumps can develop complete with pseudobulbs (swollen, above ground storage organs) and underground stems (1)."
"They [Spathoglottis spp.] all have pseudobulbs aboveground, fibrous roots underground, and fleshy, pleated leaves (2)."</v>
      </c>
      <c r="C30" s="51" t="str">
        <v>(1) https://blogs.ifas.ufl.edu/charlotteco/2024/02/12/spathoglottis-a-beautiful-terrestrial-orchid/
(2) https://gardenerspath.com/plants/flowers/grow-spathoglottis-orchids/#:~:text=Water.%20Spathoglottis%20like%20their%20soil%20to%20remain,dry%20out%20completely%20will%20stress%20the%20plant.</v>
      </c>
    </row>
    <row r="31" spans="1:3" ht="240" x14ac:dyDescent="0.2">
      <c r="A31" s="30">
        <v>6.01</v>
      </c>
      <c r="B31" s="50" t="str">
        <v>Taxon has a broad native range where it grows easily, but is listed as vulnerable in Australia (1)(2)(3). 
Conservation efforts have increase taxon population in Taiwan (2).</v>
      </c>
      <c r="C31" s="51" t="str">
        <v>(1) https://www.environment.gov.au/biodiversity/threatened/species/pubs/19694-conservation-advice.pdf
(2) https://www.taiwan-panorama.com/en/Articles/Details?Guid=a5abd227-26d6-471e-b9a5-a96fdd2789e4&amp;CatId=10&amp;postname=Taiwan%E2%80%99s%20Natural%20Treasures%20-Getting%20Citizens%20Involved%20%20in%20Preserving%20Biodiversity
(3) https://www.cabidigitallibrary.org/doi/full/10.1079/cabicompendium.117275</v>
      </c>
    </row>
    <row r="32" spans="1:3" ht="64" x14ac:dyDescent="0.2">
      <c r="A32" s="30">
        <v>6.02</v>
      </c>
      <c r="B32" s="51" t="str">
        <v>Taxon reproduces via seed (1)(2).
"Propagated by seeds, division, and tissue culture (1)."</v>
      </c>
      <c r="C32" s="51" t="str">
        <v>(1) https://www.socfindoconservation.co.id/plant/695?lang=en
(2) https://www.stuartxchange.org/PhilippineGroundOrchid</v>
      </c>
    </row>
    <row r="33" spans="1:3" ht="64" x14ac:dyDescent="0.2">
      <c r="A33" s="30">
        <v>6.03</v>
      </c>
      <c r="B33" s="51" t="str">
        <v>Unknown.
"The genus Spathoglottis comprises around 50 different species (49 species and 1 natural hybrid), each with its own distinct characteristics and beauty (1)."</v>
      </c>
      <c r="C33" s="51" t="str">
        <v>(1) https://orchideria.com/spathoglottis-orchids-complete-care-guide/</v>
      </c>
    </row>
    <row r="34" spans="1:3" ht="112" x14ac:dyDescent="0.2">
      <c r="A34" s="30">
        <v>6.04</v>
      </c>
      <c r="B34" s="51" t="str">
        <v>Taxon is known to be self-pollinating (1)(2). "Plants that have escaped cultivation are the self-ppollinating forms so the absence of pollinators is not a problem" (3)</v>
      </c>
      <c r="C34" s="51" t="str">
        <v>(1) https://goorchids.northamericanorchidcenter.org/species/spathoglottis/plicata/
(2) https://www.gardensbythebay.com.sg/en/learn-with-us/explore-resources/whats-blooming/common-spathoglottis.html (3) Ackerman, J. D., Falcón, W., Molinari, J., Vega, C., Espino, I., &amp; Cuevas, A. A. (2014). Biotic resistance and invasional meltdown: consequences of acquired interspecific interactions for an invasive orchid, Spathoglottis plicata in Puerto Rico. Biological invasions, 16(11), 2435-2447.</v>
      </c>
    </row>
    <row r="35" spans="1:3" ht="96" x14ac:dyDescent="0.2">
      <c r="A35" s="30">
        <v>6.05</v>
      </c>
      <c r="B35" s="51" t="str">
        <v>Taxon attracts and is pollinated by a variety of insects (1)(2).</v>
      </c>
      <c r="C35" s="51" t="str">
        <v>(1) https://www.anbg.gov.au/cpbr/cd-keys/RFKOrchids/key/rfkorchids/Media/Html/genera/Spathoglottis.htm
(2) https://smartyplantsnursery.com/product/purple-ground-orchid-spathoglottis-plicata/</v>
      </c>
    </row>
    <row r="36" spans="1:3" ht="128" x14ac:dyDescent="0.2">
      <c r="A36" s="30">
        <v>6.06</v>
      </c>
      <c r="B36" s="51" t="str">
        <v>Taxon can reproduce vegetatively (1)(2).
"Over time, large clumps can develop complete with pseudobulbs (swollen, above ground storage organs) and underground stems.  These clumps can be easily divided to propagate new plants (1)."
"... fruits produce thousands of minute dust-like seeds that are mainly wind-dispersed. In addition, the species is dispersed by division of the rhizomes (2)."</v>
      </c>
      <c r="C36" s="51" t="str">
        <v xml:space="preserve">(1) https://blogs.ifas.ufl.edu/charlotteco/2024/02/12/spathoglottis-a-beautiful-terrestrial-orchid/
(2) https://www.somemagneticislandplants.com.au/ground-orchid
</v>
      </c>
    </row>
    <row r="37" spans="1:3" ht="112" x14ac:dyDescent="0.2">
      <c r="A37" s="30">
        <v>6.07</v>
      </c>
      <c r="B37" s="51" t="str">
        <v>Mature fruits are produced in as little as 30 days after pollination (1)(2).</v>
      </c>
      <c r="C37" s="51" t="str">
        <v>(1) https://www.thaiscience.info/journals/Article/TNAH/10973261.pdf
(2) https://www.anbg.gov.au/cpbr/cd-keys/RFKOrchids/key/rfkorchids/Media/Html/genera/Spathoglottis.htm</v>
      </c>
    </row>
    <row r="38" spans="1:3" ht="144" x14ac:dyDescent="0.2">
      <c r="A38" s="30">
        <v>7.01</v>
      </c>
      <c r="B38" s="51" t="str">
        <v>Taxon produces a huge number of miniscule seeds that can be unintentionally dispersed and is commonly found growing in disturbed areas such as roads and pastures (1)(2)(3).</v>
      </c>
      <c r="C38" s="51" t="str">
        <v>(1) https://fsus.ncbg.unc.edu/main.php?pg=show-taxon.php&amp;plantname=Spathoglottis+plicata
(2) https://smartyplantsnursery.com/product/purple-ground-orchid-spathoglottis-plicata/
(3) https://www.cabidigitallibrary.org/doi/full/10.1079/cabicompendium.117275</v>
      </c>
    </row>
    <row r="39" spans="1:3" ht="160" x14ac:dyDescent="0.2">
      <c r="A39" s="30">
        <v>7.02</v>
      </c>
      <c r="B39" s="51" t="str">
        <v>Taxon is commonly cultivated and sold as an ornamental plant (1)(2).
"It is commonly cultivated as an ornamental and currently its distribution includes Southern India, Southern China, Southern Japan, Indo-China, Myanmar, Thailand, Peninsular Malaysia, Singapore, Sumatra, Java, Borneo, Philippines, throughout Indonesia to Australia and the Pacific Islands. This species is still sold in the nursery and landscape trade in many countries around the world and it is also available to the public through internet sites (1)."</v>
      </c>
      <c r="C39" s="51" t="str">
        <v>(1) https://www.socfindoconservation.co.id/plant/695?lang=en
(2) https://www.nparks.gov.sg/florafaunaweb/flora/2/4/2468</v>
      </c>
    </row>
    <row r="40" spans="1:3" x14ac:dyDescent="0.2">
      <c r="A40" s="30">
        <v>7.03</v>
      </c>
      <c r="B40" s="50" t="str">
        <v>No evidence.</v>
      </c>
      <c r="C40" s="51">
        <v>0</v>
      </c>
    </row>
    <row r="41" spans="1:3" ht="64" x14ac:dyDescent="0.2">
      <c r="A41" s="30">
        <v>7.04</v>
      </c>
      <c r="B41" s="51" t="str">
        <v>Taxon is wind-dispersed (1)(2).
"After the flower is fertilized, the seeds take about six weeks to develop. When ripe, the capsule splits open and thousands of tiny seeds are carried away by wind (1)."</v>
      </c>
      <c r="C41" s="51" t="str">
        <v>(1) https://www.stuartxchange.org/PhilippineGroundOrchid
(2) https://www.somemagneticislandplants.com.au/ground-orchid</v>
      </c>
    </row>
    <row r="42" spans="1:3" ht="16" x14ac:dyDescent="0.2">
      <c r="A42" s="30">
        <v>7.05</v>
      </c>
      <c r="B42" s="51" t="str">
        <v>No evidence.</v>
      </c>
      <c r="C42" s="51">
        <v>0</v>
      </c>
    </row>
    <row r="43" spans="1:3" ht="16" x14ac:dyDescent="0.2">
      <c r="A43" s="30">
        <v>7.06</v>
      </c>
      <c r="B43" s="51" t="str">
        <v>No evidence.</v>
      </c>
      <c r="C43" s="51">
        <v>0</v>
      </c>
    </row>
    <row r="44" spans="1:3" ht="16" x14ac:dyDescent="0.2">
      <c r="A44" s="30">
        <v>7.07</v>
      </c>
      <c r="B44" s="51" t="str">
        <v>No evidence.</v>
      </c>
      <c r="C44" s="51">
        <v>0</v>
      </c>
    </row>
    <row r="45" spans="1:3" x14ac:dyDescent="0.2">
      <c r="A45" s="30">
        <v>7.08</v>
      </c>
      <c r="B45" s="50" t="str">
        <v>No evidence.</v>
      </c>
      <c r="C45" s="51">
        <v>0</v>
      </c>
    </row>
    <row r="46" spans="1:3" ht="96" x14ac:dyDescent="0.2">
      <c r="A46" s="30">
        <v>8.01</v>
      </c>
      <c r="B46" s="50" t="str">
        <v>Taxon produces huge quantities of seeds (1)(2).
"... fruits produce thousands of minute dust-like seeds that are mainly wind-dispersed. In addition, the species is dispersed by division of the rhizomes (1)."</v>
      </c>
      <c r="C46" s="51" t="str">
        <v>(1) https://www.somemagneticislandplants.com.au/ground-orchid
(2) https://www.cabidigitallibrary.org/doi/full/10.1079/cabicompendium.117275</v>
      </c>
    </row>
    <row r="47" spans="1:3" ht="48" x14ac:dyDescent="0.2">
      <c r="A47" s="30">
        <v>8.02</v>
      </c>
      <c r="B47" s="51" t="str">
        <v xml:space="preserve">Unknown (1). </v>
      </c>
      <c r="C47" s="51" t="str">
        <v>(1) http://www.hear.org/pier/wra/pacific/Spathoglottis_plicata_PMC.pdf</v>
      </c>
    </row>
    <row r="48" spans="1:3" ht="48" x14ac:dyDescent="0.2">
      <c r="A48" s="30">
        <v>8.0299999999999994</v>
      </c>
      <c r="B48" s="51" t="str">
        <v xml:space="preserve">Unknown (1). </v>
      </c>
      <c r="C48" s="51" t="str">
        <v>(1) http://www.hear.org/pier/wra/pacific/Spathoglottis_plicata_PMC.pdf</v>
      </c>
    </row>
    <row r="49" spans="1:3" ht="144" x14ac:dyDescent="0.2">
      <c r="A49" s="30">
        <v>8.0399999999999991</v>
      </c>
      <c r="B49" s="51" t="str">
        <v>Taxon can reproduce vegetatively, be cut, and be pruned relatively regularly (1)(2)(3).
"Tolerates, or benefits from, cultivation, browsing pressure, mutilation, fire etc (1)."
"Over time, large clumps can develop complete with pseudobulbs (swollen, above ground storage organs) and underground stems.  These clumps can be easily divided to propagate new plants (2)."</v>
      </c>
      <c r="C49" s="51" t="str">
        <v>(1) https://www.cabidigitallibrary.org/doi/full/10.1079/cabicompendium.117275
(2) https://blogs.ifas.ufl.edu/charlotteco/2024/02/12/spathoglottis-a-beautiful-terrestrial-orchid/
(3) https://greg.app/how-to-prune-philippine-ground-orchid/</v>
      </c>
    </row>
    <row r="50" spans="1:3" ht="80" x14ac:dyDescent="0.2">
      <c r="A50" s="30">
        <v>8.0500000000000007</v>
      </c>
      <c r="B50" s="50" t="str">
        <v>Taxon is vulnerable to common pest pathogens present in the U.S. (1)(2).
"Common pests of the philippine ground orchid include Spider mites, thrips (1)."</v>
      </c>
      <c r="C50" s="51" t="str">
        <v>(1) https://plantiary.com/plant/spathoglottis-plicata_6151.html
(2) https://everydayorchids.com/spathoglottis-orchids-care-guide-2112r/</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ed89deecf2cef0fa57f2f32f9ab875cc">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7da826fe1df80d3d80045629bc1d07ef"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Props1.xml><?xml version="1.0" encoding="utf-8"?>
<ds:datastoreItem xmlns:ds="http://schemas.openxmlformats.org/officeDocument/2006/customXml" ds:itemID="{1CFA60DE-83B2-4918-BDA5-083DF0DF94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1a967f-c9b6-4417-8b28-12bf5b07c60b"/>
    <ds:schemaRef ds:uri="898990d9-3832-423e-b64c-5c8524f186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2C3439-75BE-411A-8E6B-DF10E44BED25}">
  <ds:schemaRefs>
    <ds:schemaRef ds:uri="http://schemas.microsoft.com/sharepoint/v3/contenttype/forms"/>
  </ds:schemaRefs>
</ds:datastoreItem>
</file>

<file path=customXml/itemProps3.xml><?xml version="1.0" encoding="utf-8"?>
<ds:datastoreItem xmlns:ds="http://schemas.openxmlformats.org/officeDocument/2006/customXml" ds:itemID="{624714E1-6774-437D-801A-4B8EB940739E}">
  <ds:schemaRefs>
    <ds:schemaRef ds:uri="http://schemas.microsoft.com/office/2006/metadata/properties"/>
    <ds:schemaRef ds:uri="http://schemas.microsoft.com/office/infopath/2007/PartnerControls"/>
    <ds:schemaRef ds:uri="f21a967f-c9b6-4417-8b28-12bf5b07c60b"/>
    <ds:schemaRef ds:uri="898990d9-3832-423e-b64c-5c8524f186af"/>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WRA Worksheet</vt:lpstr>
      <vt:lpstr>LUT</vt:lpstr>
      <vt:lpstr>PDF Template Scoresheet</vt:lpstr>
      <vt:lpstr>PDF Template Refs &amp;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Kim,Seokmin</cp:lastModifiedBy>
  <cp:revision/>
  <dcterms:created xsi:type="dcterms:W3CDTF">2021-06-15T16:34:22Z</dcterms:created>
  <dcterms:modified xsi:type="dcterms:W3CDTF">2025-11-10T18:53:07Z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