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https://uflorida.sharepoint.com/teams/UFIFASAssessment/Shared Documents/General/Species/Bactris guineensis/Docs/"/>
    </mc:Choice>
  </mc:AlternateContent>
  <xr:revisionPtr revIDLastSave="268" documentId="13_ncr:1_{69508F93-8DBC-402F-A5D3-7DA40148BBBA}" xr6:coauthVersionLast="47" xr6:coauthVersionMax="47" xr10:uidLastSave="{248DE58F-7F4A-428F-855D-05946D848204}"/>
  <bookViews>
    <workbookView xWindow="15840" yWindow="0" windowWidth="22665" windowHeight="15585"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<sst xmlns="http://schemas.openxmlformats.org/spreadsheetml/2006/main" count="349" uniqueCount="174">
  <si>
    <t>Species:</t>
  </si>
  <si>
    <t>Bactris guineensis aka Bactris oraria, Tobago Cane, Bactris minor</t>
  </si>
  <si>
    <r>
      <rPr>
        <sz val="11"/>
        <color rgb="FF000000"/>
        <rFont val="Calibri"/>
      </rPr>
      <t>Assessment date:</t>
    </r>
    <r>
      <rPr>
        <sz val="11"/>
        <color rgb="FFFF0000"/>
        <rFont val="Calibri"/>
      </rPr>
      <t xml:space="preserve"> 08 July 2025</t>
    </r>
    <r>
      <rPr>
        <sz val="11"/>
        <color rgb="FF000000"/>
        <rFont val="Calibri"/>
      </rPr>
      <t xml:space="preserve"> Prepared by Cameron Deelstra</t>
    </r>
  </si>
  <si>
    <t>Number</t>
  </si>
  <si>
    <t>Question</t>
  </si>
  <si>
    <t>Answer</t>
  </si>
  <si>
    <t>Score</t>
  </si>
  <si>
    <t>Uncertainty</t>
  </si>
  <si>
    <t>Evidence</t>
  </si>
  <si>
    <t>Reference</t>
  </si>
  <si>
    <t>Is the species highly domesticated?</t>
  </si>
  <si>
    <t>n</t>
  </si>
  <si>
    <t>No evidence of current cultivation to reduce weediness.</t>
  </si>
  <si>
    <t>Has the species become naturalised where grown?</t>
  </si>
  <si>
    <t>Does the species have weedy races?</t>
  </si>
  <si>
    <t>Species suited to Florida's USDA climate zones (1-low; 2-intermediate; 3-high)
       North Zone: suited to Zones 8, 9
       Central Zone: suited to Zones 9, 10
       South Zone: suited to Zone 10</t>
  </si>
  <si>
    <t>Not suitable for growth in Florida's climates (see attached climate suitability map). "USDA Zones: Roughly, it’s safe in Zones 10b and 11 year-round. In Zone 10a, it needs a very protected microclimate or backup protection on cold nights. In Zone 9 and colder, it must be grown in a pot so it can be moved or treated as an annual (which is not practical given its slow growth)(1)."</t>
  </si>
  <si>
    <t>See attached climate suitability map &amp; (1) https://www.viriar.com/blogs/palms-tree-encyklopedia/bactris-guineensi</t>
  </si>
  <si>
    <t>Quality of climate match data (1-low; 2-intermediate; 3-high)</t>
  </si>
  <si>
    <t>See climate suitability map.</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</si>
  <si>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</si>
  <si>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</si>
  <si>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"Bactris guineensis originates from areas that can be quite wet (rainforest or rainy season) but also endures dry spells (1)." Taxon originates from tropical rainforest lowlands and is adapted to periods of heavy rainfall interspersed with short dry periods (1)(2).</t>
  </si>
  <si>
    <t>(1) https://www.viriar.com/blogs/palms-tree-encyklopedia/bactris-guineensi (2) https://plantiary.com/plant/bactris-guineensis_31732.html</t>
  </si>
  <si>
    <t>Does the species have a history of repeated introductions outside its natural range?</t>
  </si>
  <si>
    <t>No evidence of repeated introductions outside of native range. "its geographic footprint is primarily the Caribbean rim and Central America, with minor introductions elsewhere by palm enthusiasts (1)."</t>
  </si>
  <si>
    <t>(1) https://www.viriar.com/blogs/palms-tree-encyklopedia/bactris-guineensi</t>
  </si>
  <si>
    <t>Naturalized beyond native range</t>
  </si>
  <si>
    <t>No evidence.</t>
  </si>
  <si>
    <t>Garden/amenity/disturbance weed</t>
  </si>
  <si>
    <t>y</t>
  </si>
  <si>
    <t>Taxon commonly grows in disturbed areas such as fields, forest edges, and sites that have been burned. (1)(2)(3)</t>
  </si>
  <si>
    <t>(1) https://www.viriar.com/blogs/palms-tree-encyklopedia/bactris-guineensi (2) 
  Brieva-Oviedo, E., Maia, A. C. D., &amp; Núñez-Avellaneda, L. A. (2020). Pollination of Bactris guineensis (Arecaceae), a potential economically exploitable fruit palm from the Colombian Caribbean. Flora. Morphologie, Geobotanik, Oekophysiologie, 269, Article 151628. https://doi.org/10.1016/j.flora.2020.151628
 (3) https://www.palmpedia.net/wiki/Bactris_guineensis</t>
  </si>
  <si>
    <t>Weed of agriculture</t>
  </si>
  <si>
    <t>Environmental weed</t>
  </si>
  <si>
    <t>No evidence of taxon altering natural functions of an ecosystem.</t>
  </si>
  <si>
    <t>Congeneric weed</t>
  </si>
  <si>
    <t>?</t>
  </si>
  <si>
    <t>Bactris gasipaes is considered a low-risk weed. Not much information available about the weediness of other Bactris species. Answered UNKNOWN</t>
  </si>
  <si>
    <t>(1) https://plantpono.org/pono-plants/bactris-gasipaes/</t>
  </si>
  <si>
    <t>Produces spines, thorns or burrs</t>
  </si>
  <si>
    <t>Leaves and trunk covered with yellowish sharp spines. (1)(2)(3)</t>
  </si>
  <si>
    <t>Allelopathic</t>
  </si>
  <si>
    <t>Parasitic</t>
  </si>
  <si>
    <t>Unpalatable to grazing animals</t>
  </si>
  <si>
    <t>No evidence of toxicity or unpalatibility. Taxon produces edible fruit and is commonly used to make jams, juice, wine, and rum. (1)(2)(3)(4)</t>
  </si>
  <si>
    <t xml:space="preserve">(1) https://sfyl.ifas.ufl.edu/media/sfylifasufledu/miami-dade/documents/landscapes-amp-gardening/EdiblePalms.pdf (2) https://www.viriar.com/blogs/palms-tree-encyklopedia/bactris-guineensi (3) https://www.palmpedia.net/wiki/Bactris_guineensis (4) 
  Cortés-Herrera, C., Pérez, A. M., &amp; Vaillant, F. (2024). Bactris guineensis, an underutilized Costa Rican palm fruit: juice processing and its nutritional profile. Agronomía Mesoamericana, 35(1), 60173. https://doi.org/10.15517/am.2024.60173
</t>
  </si>
  <si>
    <t>Toxic to animals</t>
  </si>
  <si>
    <t>Host for recognised pests and pathogens</t>
  </si>
  <si>
    <t xml:space="preserve">Taxon is not an important host to significant crop pests and pathogens. (1). "Bactris guineensis, being a hardy tropical palm, does not have an inordinate number of pests or diseases, but a few common issues can arise in cultivation (1)." </t>
  </si>
  <si>
    <t>Causes allergies or is otherwise toxic to humans</t>
  </si>
  <si>
    <t>No evidence of causing allergic reactions or being toxic. Taxon produces edible fruit and is commonly used to make jams, juice, wine, and rum. (1)(2)(3)(4)</t>
  </si>
  <si>
    <t>Creates a fire hazard in natural ecosystems</t>
  </si>
  <si>
    <t>No evidence that taxon increases risk of fire in the environment. "B. guineensis’ adaptation to fire or disturbance isn’t well documented, but we can infer: its underground rhizomes might survive low-intensity grass fires and resprout (1)."</t>
  </si>
  <si>
    <t>Is a shade tolerant plant at some stage of its life cycle</t>
  </si>
  <si>
    <t>"It thrives in well-drained, moist soils and can tolerate some shade, although it does well in partially open areas as well (1)." "As an understory palm when young, B. guineensis is quite shade-tolerant in its early stages (2)."</t>
  </si>
  <si>
    <t>(1) https://plantiary.com/plant/bactris-guineensis_31732.html (2) https://www.viriar.com/blogs/palms-tree-encyklopedia/bactris-guineensi</t>
  </si>
  <si>
    <t>Grows on infertile soils (oligotrophic, limerock, or excessively draining soils).  North &amp; Central Zones: infertile soils; South Zone: shallow limerock or Histisols.</t>
  </si>
  <si>
    <t>"B. guineensis is found in a variety of soil types in the wild – from rich alluvial soils to poorer sandy soils near coasts. The key is that it requires decent drainage (it doesn’t grow in swampy ground) and does best with some organic content (1)." "It thrives in well-drained, moist soils and can tolerate some shade, although it does well in partially open areas as well (2)."</t>
  </si>
  <si>
    <t>Climbing or smothering growth habit</t>
  </si>
  <si>
    <t>Taxon does not grow as a vine that climbs on or smothers surrounding vegetation. (1)(2)</t>
  </si>
  <si>
    <t>(1) https://www.viriar.com/blogs/palms-tree-encyklopedia/bactris-guineensi (2) https://www.nparks.gov.sg/florafaunaweb/flora/2/5/2596</t>
  </si>
  <si>
    <t>Forms dense thickets</t>
  </si>
  <si>
    <t>Taxon grows in dense clumps and clusters spread through underground rhizomes. (1)(2)</t>
  </si>
  <si>
    <t>Aquatic</t>
  </si>
  <si>
    <t>Taxon is a terrestrial plant. (1)(2)(3)</t>
  </si>
  <si>
    <t>(1) https://www.viriar.com/blogs/palms-tree-encyklopedia/bactris-guineensi (2) https://plantiary.com/plant/bactris-guineensis_31732.html (3) https://colplanta.org/taxon/urn:lsid:ipni.org:names:28460-2/general-information</t>
  </si>
  <si>
    <t>Grass</t>
  </si>
  <si>
    <t>Not of the Poaceae family. Taxon is in the family Arecaceae (palm family).</t>
  </si>
  <si>
    <t>Nitrogen fixing woody plant</t>
  </si>
  <si>
    <t>Taxon is a woody palm (1)(2).  "It may also form mycorrhizal associations (as many palms do) to help in nutrient-poor conditions (1)."</t>
  </si>
  <si>
    <t>(1) https://www.viriar.com/blogs/palms-tree-encyklopedia/bactris-guineensi (2) Brieva-Oviedo, E., Maia, A. C. D., &amp; Núñez-Avellaneda, L. A. (2020). Pollination of Bactris guineensis (Arecaceae), a potential economically exploitable fruit palm from the Colombian Caribbean. Flora. Morphologie, Geobotanik, Oekophysiologie, 269, Article 151628. https://doi.org/10.1016/j.flora.2020.151628</t>
  </si>
  <si>
    <t>Geophyte</t>
  </si>
  <si>
    <t xml:space="preserve"> Rhizomes present, but no evidence of other underground storage tissues (1)(2)</t>
  </si>
  <si>
    <t>(1) https://www.viriar.com/blogs/palms-tree-encyklopedia/bactris-guineensi (2) https://plantiary.com/plant/bactris-guineensis_31732.html (3) https://www.palmpedia.net/wiki/Bactris_guineensis</t>
  </si>
  <si>
    <t>Evidence of substantial reproductive failure in native habitat</t>
  </si>
  <si>
    <t>No evidence of reproductive failure due to disease. However, "natural populations of B. guineensis are being drastically reduced by the expansion of agricultural frontiers in Colombia (1)." "National Red List of Colombia (2021): NT (2)" "Predicted extinction risk: not threatened. Confidence: confident (2)"</t>
  </si>
  <si>
    <t>(1) 
  Brieva-Oviedo, E., Maia, A. C. D., &amp; Núñez-Avellaneda, L. A. (2020). Pollination of Bactris guineensis (Arecaceae), a potential economically exploitable fruit palm from the Colombian Caribbean. Flora. Morphologie, Geobotanik, Oekophysiologie, 269, Article 151628. https://doi.org/10.1016/j.flora.2020.151628
(2) https://colplanta.org/taxon/urn:lsid:ipni.org:names:28460-2/general-information</t>
  </si>
  <si>
    <t>Produces viable seed</t>
  </si>
  <si>
    <t>Taxon reproduces via seeds and suckering (1)(2). "The fruit is a single-seeded drupe that reaches maturity two months after flowering (1)." "Also notable is that clumping palms like Bactris can reproduce vegetatively (via suckers) in addition to sexually (via seeds)(2)." Seeds sold online (3)</t>
  </si>
  <si>
    <t>(1) https://hal.science/hal-05078038/document (2) https://www.viriar.com/blogs/palms-tree-encyklopedia/bactris-guineensi (3) https://www.rarepalmseeds.com/bactris-guineensis</t>
  </si>
  <si>
    <t>Hybridizes naturally</t>
  </si>
  <si>
    <t>Self-compatible or apomictic</t>
  </si>
  <si>
    <t>Taxon is monoecious and is noted to produce seed via self-pollination. (1) (2)</t>
  </si>
  <si>
    <t>(1) 
  Brieva-Oviedo, E., Maia, A. C. D., &amp; Núñez-Avellaneda, L. A. (2020). Pollination of Bactris guineensis (Arecaceae), a potential economically exploitable fruit palm from the Colombian Caribbean. Flora. Morphologie, Geobotanik, Oekophysiologie, 269, Article 151628. https://doi.org/10.1016/j.flora.2020.151628
(2) https://www.viriar.com/blogs/palms-tree-encyklopedia/bactris-guineensi</t>
  </si>
  <si>
    <t>Requires specialist pollinators</t>
  </si>
  <si>
    <t>Taxon is insect (weeviles and beetles) pollinated. (1)(2)</t>
  </si>
  <si>
    <t>Reproduction by vegetative propagation</t>
  </si>
  <si>
    <t>Taxon reproduces via seeds and suckering (1)(2)(3). "Also notable is that clumping palms like Bactris can reproduce vegetatively (via suckers) in addition to sexually (via seeds)(1)."</t>
  </si>
  <si>
    <t>(1) https://www.viriar.com/blogs/palms-tree-encyklopedia/bactris-guineensi (2) https://www.palmpedia.net/wiki/Bactris_guineensis (3) https://colplanta.org/taxon/urn:lsid:ipni.org:names:28460-2/general-information</t>
  </si>
  <si>
    <t>Minimum generative time (years)</t>
  </si>
  <si>
    <t>4 or more</t>
  </si>
  <si>
    <t>Taxon is slow growing. "It might be several years (perhaps 3–6 years) of growing to reach maturity." (1)</t>
  </si>
  <si>
    <t>Propagules likely to be dispersed unintentionally (plants growing in heavily trafficked areas)</t>
  </si>
  <si>
    <t>Seeds may be carried from parent plant and discarded during fruit processing. "Humans also play a role by collecting fruits and discarding seeds in new locations (including in cultivation)." (1)</t>
  </si>
  <si>
    <t>Propagules dispersed intentionally by people</t>
  </si>
  <si>
    <t>Taxon is commonly cultivated for its fruit. (1)(2)(3)(4)</t>
  </si>
  <si>
    <t>Propagules likely to disperse as a produce contaminant</t>
  </si>
  <si>
    <t>Taxon is commonly cultivated for its fruit. (1)(2)(3)(4). As large fruits, they are unlikely to be dispersed as a contaminant.</t>
  </si>
  <si>
    <t>Propagules adapted to wind dispersal</t>
  </si>
  <si>
    <t>Propagules water dispersed</t>
  </si>
  <si>
    <t>No studies examining bouyancy found.</t>
  </si>
  <si>
    <t>Propagules bird dispersed</t>
  </si>
  <si>
    <t>"Birds may swallow the small fruits and later regurgitate or excrete the seeds elsewhere. Rodents might hoard fruits and inadvertently plant seeds (1)." The fruit is a part of local birds and mammals diet (2).</t>
  </si>
  <si>
    <t>Propagules dispersed by other animals (externally)</t>
  </si>
  <si>
    <t>Propagules dispersed by other animals (internally)</t>
  </si>
  <si>
    <t>Prolific seed production</t>
  </si>
  <si>
    <t>No specific quantitative data, only limited qualitative information: "The palm’s reproduction thus relies on producing many fruits to ensure some find favorable spots to germinate (1)."</t>
  </si>
  <si>
    <t>Evidence that a persistent propagule bank is formed (&gt;1 yr)</t>
  </si>
  <si>
    <t>Lack of documented dormancy data.</t>
  </si>
  <si>
    <t>Well controlled by herbicides</t>
  </si>
  <si>
    <t>Unknown. No documented evidence of herbicide efficacy.</t>
  </si>
  <si>
    <t>Tolerates, or benefits from, mutilation or cultivation</t>
  </si>
  <si>
    <t>Taxon is commonly found in disturbed areas and spreads vegetatively, thus can benefit from disturbance and cuttings. (1)(2)</t>
  </si>
  <si>
    <t>(1) https://www.viriar.com/blogs/palms-tree-encyklopedia/bactris-guineensi (2) https://www.palmpedia.net/wiki/Bactris_guineensis</t>
  </si>
  <si>
    <t>Effective natural enemies present in U.S.</t>
  </si>
  <si>
    <t>Unkown. No evidence.</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</si>
  <si>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</si>
  <si>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</si>
  <si>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</si>
  <si>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</si>
  <si>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</si>
  <si>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</si>
  <si>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</si>
  <si>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</si>
  <si>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</si>
  <si>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</si>
  <si>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</si>
  <si>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</si>
  <si>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yes</t>
  </si>
  <si>
    <t xml:space="preserve"> Taxon is clearly bird- or wind-dispersed?</t>
  </si>
  <si>
    <t xml:space="preserve"> Taxon's life cycle &lt;4 years?</t>
  </si>
  <si>
    <t>no</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</si>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</sst>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1"/>
      <color rgb="FF000000"/>
      <name val="Calibri"/>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2" fillId="0" borderId="15" xfId="0" applyFont="1" applyBorder="1" applyAlignment="1">
      <alignment horizontal="center"/>
    </xf>
    <xf numFmtId="0" fontId="2" fillId="0" borderId="0" xfId="0" applyFont="1" applyAlignment="1" applyProtection="1">
      <alignment horizontal="center" vertical="top"/>
      <protection locked="0"/>
    </xf>
    <xf numFmtId="0" fontId="2" fillId="0" borderId="0" xfId="0" applyFont="1" applyAlignment="1" applyProtection="1">
      <alignment horizontal="center" vertical="top" wrapText="1"/>
    </xf>
    <xf numFmtId="0" fontId="2"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0" fillId="0" borderId="0" xfId="0" applyAlignment="1" applyProtection="1">
      <alignment horizontal="center" vertical="center" wrapText="1"/>
    </xf>
    <xf numFmtId="0" fontId="2" fillId="0" borderId="5" xfId="0" applyFont="1" applyBorder="1" applyAlignment="1" applyProtection="1">
      <alignment wrapText="1"/>
    </xf>
    <xf numFmtId="0" fontId="0" fillId="0" borderId="1" xfId="0" applyBorder="1" applyAlignment="1" applyProtection="1">
      <alignment horizontal="center" vertical="center" wrapText="1"/>
    </xf>
    <xf numFmtId="0" fontId="2" fillId="0" borderId="0" xfId="0" applyFont="1" applyAlignment="1" applyProtection="1">
      <alignment wrapText="1"/>
    </xf>
    <xf numFmtId="0" fontId="2" fillId="0" borderId="22" xfId="0" applyFont="1" applyBorder="1" applyAlignment="1" applyProtection="1">
      <alignment wrapText="1"/>
    </xf>
    <xf numFmtId="0" fontId="7" fillId="0" borderId="22" xfId="0" applyFont="1" applyBorder="1" applyAlignment="1" applyProtection="1">
      <alignment wrapText="1"/>
    </xf>
    <xf numFmtId="2" fontId="11" fillId="0" borderId="29" xfId="0" applyNumberFormat="1" applyFont="1" applyBorder="1" applyAlignment="1">
      <alignment horizontal="left" vertical="top" wrapText="1"/>
    </xf>
    <xf numFmtId="2" fontId="12" fillId="5" borderId="29" xfId="0" applyNumberFormat="1" applyFont="1" applyFill="1" applyBorder="1" applyAlignment="1">
      <alignment horizontal="left" vertical="top" wrapText="1"/>
    </xf>
    <xf numFmtId="0" fontId="14" fillId="5" borderId="29" xfId="0" applyFont="1" applyFill="1" applyBorder="1" applyAlignment="1">
      <alignment vertical="top" wrapText="1"/>
    </xf>
    <xf numFmtId="0" fontId="13" fillId="5" borderId="29" xfId="0" applyFont="1" applyFill="1" applyBorder="1" applyAlignment="1">
      <alignment horizontal="left" vertical="top" wrapText="1"/>
    </xf>
    <xf numFmtId="0" fontId="7" fillId="5" borderId="29" xfId="0" applyFont="1" applyFill="1" applyBorder="1" applyAlignment="1">
      <alignment vertical="top" wrapText="1"/>
    </xf>
    <xf numFmtId="2" fontId="11" fillId="0" borderId="0" xfId="0" applyNumberFormat="1" applyFont="1" applyAlignment="1">
      <alignment horizontal="right" vertical="top" wrapText="1"/>
    </xf>
    <xf numFmtId="0" fontId="11" fillId="0" borderId="0" xfId="0" applyFont="1" applyAlignment="1">
      <alignment vertical="top" wrapText="1"/>
    </xf>
    <xf numFmtId="0" fontId="13" fillId="0" borderId="0" xfId="0" applyFont="1"/>
    <xf numFmtId="0" fontId="15" fillId="0" borderId="2" xfId="0" applyFont="1" applyBorder="1" applyAlignment="1">
      <alignment vertical="top" wrapText="1"/>
    </xf>
    <xf numFmtId="0" fontId="16" fillId="0" borderId="3" xfId="0" applyFont="1" applyBorder="1" applyAlignment="1">
      <alignment wrapText="1"/>
    </xf>
    <xf numFmtId="0" fontId="17" fillId="0" borderId="4" xfId="0" applyFont="1" applyBorder="1" applyAlignment="1">
      <alignment wrapText="1"/>
    </xf>
    <xf numFmtId="0" fontId="18" fillId="0" borderId="22" xfId="0" applyFont="1" applyBorder="1"/>
    <xf numFmtId="0" fontId="18" fillId="0" borderId="0" xfId="0" applyFont="1"/>
    <xf numFmtId="0" fontId="19" fillId="0" borderId="23" xfId="0" applyFont="1" applyBorder="1"/>
    <xf numFmtId="0" fontId="18" fillId="0" borderId="5" xfId="0" applyFont="1" applyBorder="1"/>
    <xf numFmtId="0" fontId="18" fillId="0" borderId="1" xfId="0" applyFont="1" applyBorder="1"/>
    <xf numFmtId="0" fontId="19" fillId="0" borderId="6" xfId="0" applyFont="1" applyBorder="1"/>
    <xf numFmtId="0" fontId="7" fillId="4" borderId="29" xfId="0" applyFont="1" applyFill="1" applyBorder="1" applyAlignment="1">
      <alignment horizontal="center" wrapText="1"/>
    </xf>
    <xf numFmtId="0" fontId="7" fillId="4" borderId="29" xfId="0" applyFont="1" applyFill="1" applyBorder="1" applyAlignment="1">
      <alignment horizontal="center" vertical="top"/>
    </xf>
    <xf numFmtId="0" fontId="7" fillId="4" borderId="29" xfId="0" applyFont="1" applyFill="1" applyBorder="1" applyAlignment="1">
      <alignment horizontal="center" vertical="top" wrapText="1"/>
    </xf>
    <xf numFmtId="0" fontId="21" fillId="0" borderId="29" xfId="0" applyFont="1" applyBorder="1" applyAlignment="1">
      <alignment vertical="center" wrapText="1"/>
    </xf>
    <xf numFmtId="0" fontId="0" fillId="0" borderId="29" xfId="0" applyBorder="1" applyAlignment="1">
      <alignment vertical="center" wrapText="1"/>
    </xf>
    <xf numFmtId="0" fontId="22" fillId="0" borderId="29" xfId="0" applyFont="1" applyBorder="1" applyAlignment="1">
      <alignment vertical="center" wrapText="1"/>
    </xf>
    <xf numFmtId="0" fontId="13" fillId="0" borderId="29" xfId="0" applyFont="1" applyBorder="1" applyAlignment="1">
      <alignment vertical="center" wrapText="1"/>
    </xf>
    <xf numFmtId="0" fontId="23" fillId="0" borderId="29" xfId="0" applyFont="1" applyBorder="1" applyAlignment="1">
      <alignment vertical="center" wrapText="1"/>
    </xf>
    <xf numFmtId="0" fontId="24"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1" fillId="0" borderId="0" xfId="0" applyNumberFormat="1" applyFont="1" applyAlignment="1" applyProtection="1">
      <alignment horizontal="right" vertical="top" wrapText="1"/>
    </xf>
    <xf numFmtId="0" fontId="11" fillId="0" borderId="0" xfId="0" applyFont="1" applyAlignment="1" applyProtection="1">
      <alignment vertical="top" wrapText="1"/>
    </xf>
    <xf numFmtId="0" fontId="13" fillId="0" borderId="0" xfId="0" applyFont="1" applyAlignment="1" applyProtection="1">
      <alignment vertical="top"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4" xfId="0" applyBorder="1" applyProtection="1"/>
    <xf numFmtId="0" fontId="2" fillId="3" borderId="30" xfId="0" applyFont="1" applyFill="1" applyBorder="1" applyAlignment="1" applyProtection="1">
      <alignment horizontal="right"/>
    </xf>
    <xf numFmtId="0" fontId="7" fillId="4" borderId="29" xfId="0" applyFont="1" applyFill="1" applyBorder="1" applyAlignment="1" applyProtection="1">
      <alignment horizontal="center" vertical="center" wrapText="1"/>
    </xf>
    <xf numFmtId="2" fontId="11" fillId="0" borderId="29" xfId="0" applyNumberFormat="1" applyFont="1" applyBorder="1" applyAlignment="1" applyProtection="1">
      <alignment horizontal="left" vertical="top" wrapText="1"/>
    </xf>
    <xf numFmtId="0" fontId="11" fillId="0" borderId="10" xfId="0" applyFont="1" applyBorder="1" applyAlignment="1" applyProtection="1">
      <alignment vertical="top" wrapText="1"/>
    </xf>
    <xf numFmtId="0" fontId="12" fillId="0" borderId="29" xfId="0" applyFont="1" applyBorder="1" applyAlignment="1" applyProtection="1">
      <alignment horizontal="center" vertical="top" wrapText="1"/>
    </xf>
    <xf numFmtId="0" fontId="12" fillId="0" borderId="0" xfId="0" applyFont="1" applyAlignment="1" applyProtection="1">
      <alignment vertical="center" wrapText="1"/>
    </xf>
    <xf numFmtId="0" fontId="12" fillId="0" borderId="0" xfId="0" applyFont="1" applyAlignment="1" applyProtection="1">
      <alignment vertical="top" wrapText="1"/>
    </xf>
    <xf numFmtId="0" fontId="0" fillId="0" borderId="29" xfId="0" applyBorder="1" applyAlignment="1" applyProtection="1">
      <alignment horizontal="center" vertical="top" wrapText="1"/>
    </xf>
    <xf numFmtId="0" fontId="13" fillId="0" borderId="10" xfId="0" applyFont="1" applyBorder="1" applyAlignment="1" applyProtection="1">
      <alignment vertical="top" wrapText="1"/>
    </xf>
    <xf numFmtId="16" fontId="12"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8" fillId="0" borderId="0" xfId="0" applyFont="1" applyAlignment="1" applyProtection="1">
      <alignment wrapText="1"/>
      <protection locked="0"/>
    </xf>
    <xf numFmtId="0" fontId="11" fillId="0" borderId="0" xfId="0" applyFont="1" applyAlignment="1" applyProtection="1">
      <alignment vertical="top" wrapText="1"/>
      <protection locked="0"/>
    </xf>
    <xf numFmtId="2" fontId="11" fillId="0" borderId="0" xfId="0" applyNumberFormat="1" applyFont="1" applyAlignment="1" applyProtection="1">
      <alignment horizontal="right" vertical="top" wrapText="1"/>
      <protection locked="0"/>
    </xf>
    <xf numFmtId="0" fontId="3"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5" fillId="5" borderId="28" xfId="0" applyFont="1" applyFill="1" applyBorder="1" applyAlignment="1" applyProtection="1">
      <alignment horizontal="left" vertical="center"/>
      <protection locked="0"/>
    </xf>
    <xf numFmtId="0" fontId="21" fillId="0" borderId="0" xfId="0" applyFont="1" applyAlignment="1" applyProtection="1">
      <alignment wrapText="1"/>
      <protection locked="0"/>
    </xf>
    <xf numFmtId="0" fontId="26" fillId="6" borderId="0" xfId="0" applyFont="1" applyFill="1" applyAlignment="1" applyProtection="1">
      <alignment wrapText="1"/>
      <protection locked="0"/>
    </xf>
    <xf numFmtId="0" fontId="27"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31" fillId="6" borderId="0" xfId="0" applyFont="1" applyFill="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2" fillId="0" borderId="20" xfId="0" applyFont="1" applyBorder="1" applyAlignment="1" applyProtection="1">
      <alignment horizontal="center" wrapText="1"/>
      <protection locked="0"/>
    </xf>
    <xf numFmtId="0" fontId="2" fillId="2" borderId="30" xfId="0" applyFont="1" applyFill="1" applyBorder="1" applyAlignment="1" applyProtection="1">
      <alignment horizontal="center" wrapText="1"/>
    </xf>
    <xf numFmtId="0" fontId="2" fillId="2" borderId="32" xfId="0" applyFont="1" applyFill="1" applyBorder="1" applyAlignment="1" applyProtection="1">
      <alignment horizontal="center" wrapText="1"/>
    </xf>
    <xf numFmtId="0" fontId="2"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10" xfId="0" applyFont="1" applyFill="1" applyBorder="1" applyAlignment="1">
      <alignment horizontal="center"/>
    </xf>
    <xf numFmtId="0" fontId="4"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0" fillId="4" borderId="1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7" fillId="5" borderId="29" xfId="0" applyFont="1" applyFill="1" applyBorder="1" applyAlignment="1">
      <alignment horizontal="center" vertical="top" wrapText="1"/>
    </xf>
    <xf numFmtId="0" fontId="9" fillId="0" borderId="10" xfId="0" applyFont="1" applyBorder="1" applyAlignment="1" applyProtection="1">
      <alignment horizontal="left"/>
    </xf>
    <xf numFmtId="0" fontId="9" fillId="0" borderId="27" xfId="0" applyFont="1" applyBorder="1" applyAlignment="1" applyProtection="1">
      <alignment horizontal="left"/>
    </xf>
    <xf numFmtId="0" fontId="1" fillId="0" borderId="0" xfId="0" applyFont="1" applyAlignment="1" applyProtection="1">
      <alignment horizontal="left" vertical="top" wrapText="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35" zoomScale="125" zoomScaleNormal="125" workbookViewId="0">
      <pane xSplit="1" topLeftCell="B1" activePane="topRight" state="frozen"/>
      <selection pane="topRight" activeCell="B3" sqref="B3"/>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2" t="s">
        <v>2</v>
      </c>
      <c r="G1" s="56"/>
    </row>
    <row r="2" spans="1:8" s="17" customFormat="1" ht="30.75" customHeight="1">
      <c r="A2" s="18" t="s">
        <v>3</v>
      </c>
      <c r="B2" s="18" t="s">
        <v>4</v>
      </c>
      <c r="C2" s="18" t="s">
        <v>5</v>
      </c>
      <c r="D2" s="18" t="s">
        <v>6</v>
      </c>
      <c r="E2" s="88" t="s">
        <v>7</v>
      </c>
      <c r="F2" s="18" t="s">
        <v>8</v>
      </c>
      <c r="G2" s="18" t="s">
        <v>9</v>
      </c>
      <c r="H2" s="101"/>
    </row>
    <row r="3" spans="1:8">
      <c r="A3" s="66">
        <v>1.01</v>
      </c>
      <c r="B3" s="67" t="s">
        <v>10</v>
      </c>
      <c r="C3" s="56" t="s">
        <v>11</v>
      </c>
      <c r="D3" s="59">
        <f>IF(C3="Y",-3,IF(C3="N",0," "))</f>
        <v>0</v>
      </c>
      <c r="E3" s="57"/>
      <c r="F3" s="99" t="s">
        <v>12</v>
      </c>
      <c r="G3" s="64"/>
    </row>
    <row r="4" spans="1:8" ht="30">
      <c r="A4" s="66">
        <v>1.02</v>
      </c>
      <c r="B4" s="67" t="s">
        <v>13</v>
      </c>
      <c r="C4" s="56"/>
      <c r="D4" s="59" t="str">
        <f>IF(C4="n",VLOOKUP(LUT!C5,LUT!C4:E52,2),IF(C4="y",VLOOKUP(LUT!C5,LUT!C4:E52,3)," "))</f>
        <v xml:space="preserve"> </v>
      </c>
      <c r="E4" s="57"/>
      <c r="F4" s="64"/>
      <c r="G4" s="64"/>
    </row>
    <row r="5" spans="1:8">
      <c r="A5" s="66">
        <v>1.03</v>
      </c>
      <c r="B5" s="67" t="s">
        <v>14</v>
      </c>
      <c r="C5" s="56"/>
      <c r="D5" s="59" t="str">
        <f>IF(C5="Y",1,IF(C5="N",-1," "))</f>
        <v xml:space="preserve"> </v>
      </c>
      <c r="E5" s="57"/>
      <c r="F5" s="64"/>
      <c r="G5" s="64"/>
    </row>
    <row r="6" spans="1:8" ht="77.25">
      <c r="A6" s="66">
        <v>2.0099999999999998</v>
      </c>
      <c r="B6" s="67" t="s">
        <v>15</v>
      </c>
      <c r="C6" s="56">
        <v>1</v>
      </c>
      <c r="D6" s="60"/>
      <c r="E6" s="57"/>
      <c r="F6" s="99" t="s">
        <v>16</v>
      </c>
      <c r="G6" s="99" t="s">
        <v>17</v>
      </c>
    </row>
    <row r="7" spans="1:8" ht="30.75">
      <c r="A7" s="66">
        <v>2.02</v>
      </c>
      <c r="B7" s="67" t="s">
        <v>18</v>
      </c>
      <c r="C7" s="56">
        <v>3</v>
      </c>
      <c r="D7" s="60"/>
      <c r="E7" s="57"/>
      <c r="F7" s="99" t="s">
        <v>19</v>
      </c>
      <c r="G7" s="64"/>
    </row>
    <row r="8" spans="1:8" ht="30">
      <c r="A8" s="66">
        <v>2.0299999999999998</v>
      </c>
      <c r="B8" s="67" t="s">
        <v>20</v>
      </c>
      <c r="C8" s="56" t="s">
        <v>11</v>
      </c>
      <c r="D8" s="59">
        <f>IF(C8="y",1,IF(C8="n",0," "))</f>
        <v>0</v>
      </c>
      <c r="E8" s="57"/>
      <c r="F8" s="99" t="s">
        <v>19</v>
      </c>
      <c r="G8" s="99"/>
    </row>
    <row r="9" spans="1:8" ht="121.5">
      <c r="A9" s="66">
        <v>2.04</v>
      </c>
      <c r="B9" s="67" t="s">
        <v>21</v>
      </c>
      <c r="C9" s="56" t="s">
        <v>11</v>
      </c>
      <c r="D9" s="59">
        <f>IF(C9="y",1,IF(C9="n",0," "))</f>
        <v>0</v>
      </c>
      <c r="E9" s="57"/>
      <c r="F9" s="99" t="s">
        <v>22</v>
      </c>
      <c r="G9" s="64" t="s">
        <v>23</v>
      </c>
    </row>
    <row r="10" spans="1:8" ht="60">
      <c r="A10" s="66">
        <v>2.0499999999999998</v>
      </c>
      <c r="B10" s="67" t="s">
        <v>24</v>
      </c>
      <c r="C10" s="56" t="s">
        <v>11</v>
      </c>
      <c r="D10" s="60"/>
      <c r="E10" s="57"/>
      <c r="F10" s="56" t="s">
        <v>25</v>
      </c>
      <c r="G10" s="64" t="s">
        <v>26</v>
      </c>
    </row>
    <row r="11" spans="1:8">
      <c r="A11" s="66">
        <v>3.01</v>
      </c>
      <c r="B11" s="67" t="s">
        <v>27</v>
      </c>
      <c r="C11" s="56" t="s">
        <v>11</v>
      </c>
      <c r="D11" s="59">
        <f>IF(C11="n",LOOKUP($C$10,LUT!$I$13:$L$13,LUT!$I$14:$L$14),IF(AND(C11="y",AND($C$6=1,$C$7=1)),2,IF(AND(C11="y",AND($C$6=1,$C$7=2)),1,IF(AND(C11="y",AND($C$6=1,$C$7=3)),1,IF(AND(C11="y",AND($C$6=2,$C$7=1)),2,IF(AND(C11="y",AND($C$6=2,$C$7=2)),2,IF(AND(C11="y",AND($C$6=2,$C$7=3)),1,IF(AND(C11="y",AND($C$6=3,$C$7=1)),2,IF(AND(C11="y",AND($C$6=3,$C$7=2)),2,IF(AND(C11="y",AND($C$6=3,$C$7=3)),2,""))))))))))</f>
        <v>0</v>
      </c>
      <c r="E11" s="57"/>
      <c r="F11" s="58" t="s">
        <v>28</v>
      </c>
    </row>
    <row r="12" spans="1:8" ht="195">
      <c r="A12" s="66">
        <v>3.02</v>
      </c>
      <c r="B12" s="67" t="s">
        <v>29</v>
      </c>
      <c r="C12" s="56" t="s">
        <v>30</v>
      </c>
      <c r="D12" s="59">
        <f>IF(C12="n",LOOKUP($C$10,LUT!$I$13:$L$13,LUT!$I$15:$L$15),IF(AND(C12="y",AND($C$6=1,$C$7=1)),2,IF(AND(C12="y",AND($C$6=1,$C$7=2)),1,IF(AND(C12="y",AND($C$6=1,$C$7=3)),1,IF(AND(C12="y",AND($C$6=2,$C$7=1)),2,IF(AND(C12="y",AND($C$6=2,$C$7=2)),2,IF(AND(C12="y",AND($C$6=2,$C$7=3)),1,IF(AND(C12="y",AND($C$6=3,$C$7=1)),2,IF(AND(C12="y",AND($C$6=3,$C$7=2)),2,IF(AND(C12="y",AND($C$6=3,$C$7=3)),2,""))))))))))</f>
        <v>1</v>
      </c>
      <c r="E12" s="57"/>
      <c r="F12" s="100" t="s">
        <v>31</v>
      </c>
      <c r="G12" s="64" t="s">
        <v>32</v>
      </c>
    </row>
    <row r="13" spans="1:8">
      <c r="A13" s="66">
        <v>3.03</v>
      </c>
      <c r="B13" s="67" t="s">
        <v>33</v>
      </c>
      <c r="C13" s="56" t="s">
        <v>11</v>
      </c>
      <c r="D13" s="59">
        <f>IF(C13="n",LOOKUP($C$10,LUT!$I$13:$L$13,LUT!$I$15:$L$15),IF(AND(C13="y",AND($C$6=1,$C$7=1)),4,IF(AND(C13="y",AND($C$6=1,$C$7=2)),2,IF(AND(C13="y",AND($C$6=1,$C$7=3)),1,IF(AND(C13="y",AND($C$6=2,$C$7=1)),4,IF(AND(C13="y",AND($C$6=2,$C$7=2)),3,IF(AND(C13="y",AND($C$6=2,$C$7=3)),2,IF(AND(C13="y",AND($C$6=3,$C$7=1)),4,IF(AND(C13="y",AND($C$6=3,$C$7=2)),4,IF(AND(C13="y",AND($C$6=3,$C$7=3)),4,""))))))))))</f>
        <v>0</v>
      </c>
      <c r="E13" s="57"/>
      <c r="F13" s="58" t="s">
        <v>28</v>
      </c>
      <c r="G13" s="64"/>
    </row>
    <row r="14" spans="1:8">
      <c r="A14" s="66">
        <v>3.04</v>
      </c>
      <c r="B14" s="67" t="s">
        <v>34</v>
      </c>
      <c r="C14" s="56" t="s">
        <v>11</v>
      </c>
      <c r="D14" s="59">
        <f>IF(C14="n",LOOKUP($C$10,LUT!$I$13:$L$13,LUT!$I$15:$L$15),IF(AND(C14="y",AND($C$6=1,$C$7=1)),4,IF(AND(C14="y",AND($C$6=1,$C$7=2)),2,IF(AND(C14="y",AND($C$6=1,$C$7=3)),1,IF(AND(C14="y",AND($C$6=2,$C$7=1)),4,IF(AND(C14="y",AND($C$6=2,$C$7=2)),3,IF(AND(C14="y",AND($C$6=2,$C$7=3)),2,IF(AND(C14="y",AND($C$6=3,$C$7=1)),4,IF(AND(C14="y",AND($C$6=3,$C$7=2)),4,IF(AND(C14="y",AND($C$6=3,$C$7=3)),4,""))))))))))</f>
        <v>0</v>
      </c>
      <c r="E14" s="57"/>
      <c r="F14" s="64" t="s">
        <v>35</v>
      </c>
      <c r="G14" s="64"/>
    </row>
    <row r="15" spans="1:8" ht="45.75">
      <c r="A15" s="66">
        <v>3.05</v>
      </c>
      <c r="B15" s="67" t="s">
        <v>36</v>
      </c>
      <c r="C15" s="56" t="s">
        <v>37</v>
      </c>
      <c r="D15" s="59" t="str">
        <f>IF(C15="n",LOOKUP($C$10,LUT!$I$13:$L$13,LUT!$I$15:$L$15),IF(AND(C15="y",AND($C$6=1,$C$7=1)),2,IF(AND(C15="y",AND($C$6=1,$C$7=2)),1,IF(AND(C15="y",AND($C$6=1,$C$7=3)),1,IF(AND(C15="y",AND($C$6=2,$C$7=1)),2,IF(AND(C15="y",AND($C$6=2,$C$7=2)),2,IF(AND(C15="y",AND($C$6=2,$C$7=3)),1,IF(AND(C15="y",AND($C$6=3,$C$7=1)),2,IF(AND(C15="y",AND($C$6=3,$C$7=2)),2,IF(AND(C15="y",AND($C$6=3,$C$7=3)),2,""))))))))))</f>
        <v/>
      </c>
      <c r="E15" s="57"/>
      <c r="F15" s="64" t="s">
        <v>38</v>
      </c>
      <c r="G15" s="64" t="s">
        <v>39</v>
      </c>
    </row>
    <row r="16" spans="1:8" ht="195">
      <c r="A16" s="66">
        <v>4.01</v>
      </c>
      <c r="B16" s="67" t="s">
        <v>40</v>
      </c>
      <c r="C16" s="56" t="s">
        <v>30</v>
      </c>
      <c r="D16" s="59">
        <f>IF(C16="y",VLOOKUP(LUT!C17,LUT!$C$4:$E$52,3),IF(C16="n",VLOOKUP(LUT!C17,LUT!$C$4:$E$52,2)," "))</f>
        <v>1</v>
      </c>
      <c r="E16" s="57"/>
      <c r="F16" s="64" t="s">
        <v>41</v>
      </c>
      <c r="G16" s="64" t="s">
        <v>32</v>
      </c>
    </row>
    <row r="17" spans="1:7">
      <c r="A17" s="66">
        <v>4.0199999999999996</v>
      </c>
      <c r="B17" s="67" t="s">
        <v>42</v>
      </c>
      <c r="C17" s="56" t="s">
        <v>11</v>
      </c>
      <c r="D17" s="59">
        <f>IF(C17="y",VLOOKUP(LUT!C18,LUT!C4:E52,3),IF(C17="n",VLOOKUP(LUT!C18,LUT!C4:E52,2)," "))</f>
        <v>0</v>
      </c>
      <c r="E17" s="57"/>
      <c r="F17" s="58" t="s">
        <v>28</v>
      </c>
      <c r="G17" s="64"/>
    </row>
    <row r="18" spans="1:7">
      <c r="A18" s="66">
        <v>4.03</v>
      </c>
      <c r="B18" s="67" t="s">
        <v>43</v>
      </c>
      <c r="C18" s="56" t="s">
        <v>11</v>
      </c>
      <c r="D18" s="59">
        <f>IF(C18="y",VLOOKUP(LUT!C19,LUT!$C$4:$E$52,3),IF(C18="n",VLOOKUP(LUT!C19,LUT!$C$4:$E$52,2)," "))</f>
        <v>0</v>
      </c>
      <c r="E18" s="57"/>
      <c r="F18" s="58" t="s">
        <v>28</v>
      </c>
      <c r="G18" s="64"/>
    </row>
    <row r="19" spans="1:7" ht="225">
      <c r="A19" s="66">
        <v>4.04</v>
      </c>
      <c r="B19" s="67" t="s">
        <v>44</v>
      </c>
      <c r="C19" s="56" t="s">
        <v>11</v>
      </c>
      <c r="D19" s="59">
        <f>IF(C19="y",VLOOKUP(LUT!C20,LUT!$C$4:$E$52,3),IF(C19="n",VLOOKUP(LUT!C20,LUT!$C$4:$E$52,2)," "))</f>
        <v>-1</v>
      </c>
      <c r="E19" s="57"/>
      <c r="F19" s="64" t="s">
        <v>45</v>
      </c>
      <c r="G19" s="64" t="s">
        <v>46</v>
      </c>
    </row>
    <row r="20" spans="1:7" ht="225">
      <c r="A20" s="66">
        <v>4.05</v>
      </c>
      <c r="B20" s="67" t="s">
        <v>47</v>
      </c>
      <c r="C20" s="56" t="s">
        <v>11</v>
      </c>
      <c r="D20" s="59">
        <f>IF(C20="y",VLOOKUP(LUT!C21,LUT!$C$4:$E$52,3),IF(C20="n",VLOOKUP(LUT!C21,LUT!$C$4:$E$52,2)," "))</f>
        <v>0</v>
      </c>
      <c r="E20" s="57"/>
      <c r="F20" s="64" t="s">
        <v>45</v>
      </c>
      <c r="G20" s="64" t="s">
        <v>46</v>
      </c>
    </row>
    <row r="21" spans="1:7" ht="60">
      <c r="A21" s="66">
        <v>4.0599999999999996</v>
      </c>
      <c r="B21" s="67" t="s">
        <v>48</v>
      </c>
      <c r="C21" s="56" t="s">
        <v>11</v>
      </c>
      <c r="D21" s="59">
        <f>IF(C21="y",VLOOKUP(LUT!C22,LUT!$C$4:$E$52,3),IF(C21="n",VLOOKUP(LUT!C22,LUT!$C$4:$E$52,2)," "))</f>
        <v>0</v>
      </c>
      <c r="E21" s="57"/>
      <c r="F21" s="64" t="s">
        <v>49</v>
      </c>
      <c r="G21" s="64" t="s">
        <v>26</v>
      </c>
    </row>
    <row r="22" spans="1:7" ht="225">
      <c r="A22" s="66">
        <v>4.07</v>
      </c>
      <c r="B22" s="67" t="s">
        <v>50</v>
      </c>
      <c r="C22" s="56" t="s">
        <v>11</v>
      </c>
      <c r="D22" s="59">
        <f>IF(C22="y",VLOOKUP(LUT!C23,LUT!$C$4:$E$52,3),IF(C22="n",VLOOKUP(LUT!C23,LUT!$C$4:$E$52,2)," "))</f>
        <v>0</v>
      </c>
      <c r="E22" s="57"/>
      <c r="F22" s="64" t="s">
        <v>51</v>
      </c>
      <c r="G22" s="64" t="s">
        <v>46</v>
      </c>
    </row>
    <row r="23" spans="1:7" ht="60">
      <c r="A23" s="66">
        <v>4.08</v>
      </c>
      <c r="B23" s="67" t="s">
        <v>52</v>
      </c>
      <c r="C23" s="56" t="s">
        <v>11</v>
      </c>
      <c r="D23" s="59">
        <f>IF(C23="y",VLOOKUP(LUT!C24,LUT!$C$4:$E$52,3),IF(C23="n",VLOOKUP(LUT!C24,LUT!$C$4:$E$52,2)," "))</f>
        <v>0</v>
      </c>
      <c r="E23" s="57"/>
      <c r="F23" s="64" t="s">
        <v>53</v>
      </c>
      <c r="G23" s="64" t="s">
        <v>26</v>
      </c>
    </row>
    <row r="24" spans="1:7" ht="60">
      <c r="A24" s="66">
        <v>4.09</v>
      </c>
      <c r="B24" s="67" t="s">
        <v>54</v>
      </c>
      <c r="C24" s="56" t="s">
        <v>30</v>
      </c>
      <c r="D24" s="59">
        <f>IF(C24="y",VLOOKUP(LUT!C25,LUT!$C$4:$E$52,3),IF(C24="n",VLOOKUP(LUT!C25,LUT!$C$4:$E$52,2)," "))</f>
        <v>1</v>
      </c>
      <c r="E24" s="57"/>
      <c r="F24" s="64" t="s">
        <v>55</v>
      </c>
      <c r="G24" s="64" t="s">
        <v>56</v>
      </c>
    </row>
    <row r="25" spans="1:7" ht="90">
      <c r="A25" s="66">
        <v>4.0999999999999996</v>
      </c>
      <c r="B25" s="68" t="s">
        <v>57</v>
      </c>
      <c r="C25" s="56" t="s">
        <v>30</v>
      </c>
      <c r="D25" s="59">
        <f>IF(C25="y",VLOOKUP(LUT!C26,LUT!$C$4:$E$52,3),IF(C25="n",VLOOKUP(LUT!C26,LUT!$C$4:$E$52,2)," "))</f>
        <v>1</v>
      </c>
      <c r="E25" s="57"/>
      <c r="F25" s="64" t="s">
        <v>58</v>
      </c>
      <c r="G25" s="64" t="s">
        <v>23</v>
      </c>
    </row>
    <row r="26" spans="1:7" ht="60">
      <c r="A26" s="66">
        <v>4.1100000000000003</v>
      </c>
      <c r="B26" s="67" t="s">
        <v>59</v>
      </c>
      <c r="C26" s="56" t="s">
        <v>11</v>
      </c>
      <c r="D26" s="59">
        <f>IF(C26="y",VLOOKUP(LUT!C27,LUT!$C$4:$E$52,3),IF(C26="n",VLOOKUP(LUT!C27,LUT!$C$4:$E$52,2)," "))</f>
        <v>0</v>
      </c>
      <c r="E26" s="57"/>
      <c r="F26" s="64" t="s">
        <v>60</v>
      </c>
      <c r="G26" s="64" t="s">
        <v>61</v>
      </c>
    </row>
    <row r="27" spans="1:7" ht="60.75">
      <c r="A27" s="66">
        <v>4.12</v>
      </c>
      <c r="B27" s="67" t="s">
        <v>62</v>
      </c>
      <c r="C27" s="56" t="s">
        <v>30</v>
      </c>
      <c r="D27" s="59">
        <f>IF(C27="y",VLOOKUP(LUT!C28,LUT!$C$4:$E$52,3),IF(C27="n",VLOOKUP(LUT!C28,LUT!$C$4:$E$52,2)," "))</f>
        <v>1</v>
      </c>
      <c r="E27" s="57"/>
      <c r="F27" s="64" t="s">
        <v>63</v>
      </c>
      <c r="G27" s="64" t="s">
        <v>61</v>
      </c>
    </row>
    <row r="28" spans="1:7" ht="90">
      <c r="A28" s="66">
        <v>5.01</v>
      </c>
      <c r="B28" s="67" t="s">
        <v>64</v>
      </c>
      <c r="C28" s="56" t="s">
        <v>11</v>
      </c>
      <c r="D28" s="59">
        <f>IF(C28="y",VLOOKUP(LUT!C29,LUT!$C$4:$E$52,3),IF(C28="n",VLOOKUP(LUT!C29,LUT!$C$4:$E$52,2)," "))</f>
        <v>0</v>
      </c>
      <c r="E28" s="57"/>
      <c r="F28" s="64" t="s">
        <v>65</v>
      </c>
      <c r="G28" s="64" t="s">
        <v>66</v>
      </c>
    </row>
    <row r="29" spans="1:7" ht="30">
      <c r="A29" s="66">
        <v>5.0199999999999996</v>
      </c>
      <c r="B29" s="67" t="s">
        <v>67</v>
      </c>
      <c r="C29" s="56" t="s">
        <v>11</v>
      </c>
      <c r="D29" s="59">
        <f>IF(C29="y",VLOOKUP(LUT!C30,LUT!$C$4:$E$52,3),IF(C29="n",VLOOKUP(LUT!C30,LUT!$C$4:$E$52,2)," "))</f>
        <v>0</v>
      </c>
      <c r="E29" s="57"/>
      <c r="F29" s="64" t="s">
        <v>68</v>
      </c>
      <c r="G29" s="64" t="s">
        <v>26</v>
      </c>
    </row>
    <row r="30" spans="1:7" ht="150">
      <c r="A30" s="66">
        <v>5.03</v>
      </c>
      <c r="B30" s="67" t="s">
        <v>69</v>
      </c>
      <c r="C30" s="56" t="s">
        <v>37</v>
      </c>
      <c r="D30" s="59" t="str">
        <f>IF(C30="y",VLOOKUP(LUT!C31,LUT!$C$4:$E$52,3),IF(C30="n",VLOOKUP(LUT!C31,LUT!$C$4:$E$52,2)," "))</f>
        <v xml:space="preserve"> </v>
      </c>
      <c r="E30" s="57"/>
      <c r="F30" s="64" t="s">
        <v>70</v>
      </c>
      <c r="G30" s="103" t="s">
        <v>71</v>
      </c>
    </row>
    <row r="31" spans="1:7" ht="90">
      <c r="A31" s="66">
        <v>5.04</v>
      </c>
      <c r="B31" s="67" t="s">
        <v>72</v>
      </c>
      <c r="C31" s="56" t="s">
        <v>11</v>
      </c>
      <c r="D31" s="59">
        <f>IF(C31="y",VLOOKUP(LUT!C32,LUT!$C$4:$E$52,3),IF(C31="n",VLOOKUP(LUT!C32,LUT!$C$4:$E$52,2)," "))</f>
        <v>0</v>
      </c>
      <c r="E31" s="57"/>
      <c r="F31" s="148" t="s">
        <v>73</v>
      </c>
      <c r="G31" s="64" t="s">
        <v>74</v>
      </c>
    </row>
    <row r="32" spans="1:7" ht="180">
      <c r="A32" s="66">
        <v>6.01</v>
      </c>
      <c r="B32" s="67" t="s">
        <v>75</v>
      </c>
      <c r="C32" s="56" t="s">
        <v>11</v>
      </c>
      <c r="D32" s="59">
        <f>IF(C32="y",VLOOKUP(LUT!C33,LUT!$C$4:$E$52,3),IF(C32="n",VLOOKUP(LUT!C33,LUT!$C$4:$E$52,2)," "))</f>
        <v>0</v>
      </c>
      <c r="E32" s="57"/>
      <c r="F32" s="64" t="s">
        <v>76</v>
      </c>
      <c r="G32" s="64" t="s">
        <v>77</v>
      </c>
    </row>
    <row r="33" spans="1:7" ht="76.5">
      <c r="A33" s="66">
        <v>6.02</v>
      </c>
      <c r="B33" s="67" t="s">
        <v>78</v>
      </c>
      <c r="C33" s="56" t="s">
        <v>30</v>
      </c>
      <c r="D33" s="59">
        <f>IF(C33="y",VLOOKUP(LUT!C34,LUT!$C$4:$E$52,3),IF(C33="n",VLOOKUP(LUT!C34,LUT!$C$4:$E$52,2)," "))</f>
        <v>1</v>
      </c>
      <c r="E33" s="57"/>
      <c r="F33" s="64" t="s">
        <v>79</v>
      </c>
      <c r="G33" s="64" t="s">
        <v>80</v>
      </c>
    </row>
    <row r="34" spans="1:7">
      <c r="A34" s="66">
        <v>6.03</v>
      </c>
      <c r="B34" s="67" t="s">
        <v>81</v>
      </c>
      <c r="C34" s="56" t="s">
        <v>11</v>
      </c>
      <c r="D34" s="59">
        <f>IF(C34="y",VLOOKUP(LUT!C35,LUT!$C$4:$E$52,3),IF(C34="n",VLOOKUP(LUT!C35,LUT!$C$4:$E$52,2)," "))</f>
        <v>-1</v>
      </c>
      <c r="E34" s="57"/>
      <c r="F34" s="58" t="s">
        <v>28</v>
      </c>
      <c r="G34" s="64"/>
    </row>
    <row r="35" spans="1:7" ht="165">
      <c r="A35" s="66">
        <v>6.04</v>
      </c>
      <c r="B35" s="67" t="s">
        <v>82</v>
      </c>
      <c r="C35" s="56" t="s">
        <v>30</v>
      </c>
      <c r="D35" s="59">
        <f>IF(C35="y",VLOOKUP(LUT!C36,LUT!$C$4:$E$52,3),IF(C35="n",VLOOKUP(LUT!C36,LUT!$C$4:$E$52,2)," "))</f>
        <v>1</v>
      </c>
      <c r="E35" s="57"/>
      <c r="F35" s="64" t="s">
        <v>83</v>
      </c>
      <c r="G35" s="64" t="s">
        <v>84</v>
      </c>
    </row>
    <row r="36" spans="1:7" ht="152.25">
      <c r="A36" s="66">
        <v>6.05</v>
      </c>
      <c r="B36" s="67" t="s">
        <v>85</v>
      </c>
      <c r="C36" s="56" t="s">
        <v>11</v>
      </c>
      <c r="D36" s="59">
        <f>IF(C36="y",VLOOKUP(LUT!C37,LUT!$C$4:$E$52,3),IF(C36="n",VLOOKUP(LUT!C37,LUT!$C$4:$E$52,2)," "))</f>
        <v>0</v>
      </c>
      <c r="E36" s="57"/>
      <c r="F36" s="64" t="s">
        <v>86</v>
      </c>
      <c r="G36" s="64" t="s">
        <v>84</v>
      </c>
    </row>
    <row r="37" spans="1:7" ht="90">
      <c r="A37" s="66">
        <v>6.06</v>
      </c>
      <c r="B37" s="67" t="s">
        <v>87</v>
      </c>
      <c r="C37" s="56" t="s">
        <v>30</v>
      </c>
      <c r="D37" s="59">
        <f>IF(C37="y",VLOOKUP(LUT!C38,LUT!$C$4:$E$52,3),IF(C37="n",VLOOKUP(LUT!C38,LUT!$C$4:$E$52,2)," "))</f>
        <v>1</v>
      </c>
      <c r="E37" s="57"/>
      <c r="F37" s="64" t="s">
        <v>88</v>
      </c>
      <c r="G37" s="64" t="s">
        <v>89</v>
      </c>
    </row>
    <row r="38" spans="1:7" ht="30">
      <c r="A38" s="66">
        <v>6.07</v>
      </c>
      <c r="B38" s="67" t="s">
        <v>90</v>
      </c>
      <c r="C38" s="84" t="s">
        <v>91</v>
      </c>
      <c r="D38" s="59">
        <f>IF(C38="1 or fewer",1,IF(C38="2 or 3",0,IF(C38&gt;="4 or more",-1," ")))</f>
        <v>-1</v>
      </c>
      <c r="E38" s="57"/>
      <c r="F38" s="64" t="s">
        <v>92</v>
      </c>
      <c r="G38" s="64" t="s">
        <v>26</v>
      </c>
    </row>
    <row r="39" spans="1:7" ht="45">
      <c r="A39" s="66">
        <v>7.01</v>
      </c>
      <c r="B39" s="67" t="s">
        <v>93</v>
      </c>
      <c r="C39" s="56" t="s">
        <v>30</v>
      </c>
      <c r="D39" s="59">
        <f>IF(C39="y",VLOOKUP(LUT!C40,LUT!$C$4:$E$52,3),IF(C39="n",VLOOKUP(LUT!C40,LUT!$C$4:$E$52,2)," "))</f>
        <v>1</v>
      </c>
      <c r="E39" s="57"/>
      <c r="F39" s="100" t="s">
        <v>94</v>
      </c>
      <c r="G39" s="64" t="s">
        <v>26</v>
      </c>
    </row>
    <row r="40" spans="1:7" ht="225">
      <c r="A40" s="66">
        <v>7.02</v>
      </c>
      <c r="B40" s="67" t="s">
        <v>95</v>
      </c>
      <c r="C40" s="56" t="s">
        <v>30</v>
      </c>
      <c r="D40" s="59">
        <f>IF(C40="y",VLOOKUP(LUT!C41,LUT!$C$4:$E$52,3),IF(C40="n",VLOOKUP(LUT!C41,LUT!$C$4:$E$52,2)," "))</f>
        <v>1</v>
      </c>
      <c r="E40" s="57"/>
      <c r="F40" s="64" t="s">
        <v>96</v>
      </c>
      <c r="G40" s="64" t="s">
        <v>46</v>
      </c>
    </row>
    <row r="41" spans="1:7" ht="198">
      <c r="A41" s="66">
        <v>7.03</v>
      </c>
      <c r="B41" s="67" t="s">
        <v>97</v>
      </c>
      <c r="C41" s="56" t="s">
        <v>11</v>
      </c>
      <c r="D41" s="59">
        <f>IF(C41="y",VLOOKUP(LUT!C42,LUT!$C$4:$E$52,3),IF(C41="n",VLOOKUP(LUT!C42,LUT!$C$4:$E$52,2)," "))</f>
        <v>-1</v>
      </c>
      <c r="E41" s="57"/>
      <c r="F41" s="64" t="s">
        <v>98</v>
      </c>
      <c r="G41" s="64" t="s">
        <v>46</v>
      </c>
    </row>
    <row r="42" spans="1:7">
      <c r="A42" s="66">
        <v>7.04</v>
      </c>
      <c r="B42" s="67" t="s">
        <v>99</v>
      </c>
      <c r="C42" s="56" t="s">
        <v>11</v>
      </c>
      <c r="D42" s="59">
        <f>IF(C42="y",VLOOKUP(LUT!C43,LUT!$C$4:$E$52,3),IF(C42="n",VLOOKUP(LUT!C43,LUT!$C$4:$E$52,2)," "))</f>
        <v>-1</v>
      </c>
      <c r="E42" s="57"/>
      <c r="F42" s="58" t="s">
        <v>28</v>
      </c>
      <c r="G42" s="64"/>
    </row>
    <row r="43" spans="1:7">
      <c r="A43" s="66">
        <v>7.05</v>
      </c>
      <c r="B43" s="67" t="s">
        <v>100</v>
      </c>
      <c r="C43" s="56" t="s">
        <v>37</v>
      </c>
      <c r="D43" s="59" t="str">
        <f>IF(C43="y",VLOOKUP(LUT!C44,LUT!$C$4:$E$52,3),IF(C43="n",VLOOKUP(LUT!C44,LUT!$C$4:$E$52,2)," "))</f>
        <v xml:space="preserve"> </v>
      </c>
      <c r="E43" s="57"/>
      <c r="F43" s="58" t="s">
        <v>101</v>
      </c>
      <c r="G43" s="64"/>
    </row>
    <row r="44" spans="1:7" ht="60">
      <c r="A44" s="66">
        <v>7.06</v>
      </c>
      <c r="B44" s="67" t="s">
        <v>102</v>
      </c>
      <c r="C44" s="56" t="s">
        <v>30</v>
      </c>
      <c r="D44" s="59">
        <f>IF(C44="y",VLOOKUP(LUT!C45,LUT!$C$4:$E$52,3),IF(C44="n",VLOOKUP(LUT!C45,LUT!$C$4:$E$52,2)," "))</f>
        <v>1</v>
      </c>
      <c r="E44" s="57"/>
      <c r="F44" s="64" t="s">
        <v>103</v>
      </c>
      <c r="G44" s="64" t="s">
        <v>23</v>
      </c>
    </row>
    <row r="45" spans="1:7" ht="30">
      <c r="A45" s="66">
        <v>7.07</v>
      </c>
      <c r="B45" s="67" t="s">
        <v>104</v>
      </c>
      <c r="C45" s="56" t="s">
        <v>11</v>
      </c>
      <c r="D45" s="59">
        <f>IF(C45="y",VLOOKUP(LUT!C46,LUT!$C$4:$E$52,3),IF(C45="n",VLOOKUP(LUT!C46,LUT!$C$4:$E$52,2)," "))</f>
        <v>-1</v>
      </c>
      <c r="E45" s="57"/>
      <c r="F45" s="58" t="s">
        <v>28</v>
      </c>
      <c r="G45" s="64"/>
    </row>
    <row r="46" spans="1:7" ht="60">
      <c r="A46" s="66">
        <v>7.08</v>
      </c>
      <c r="B46" s="67" t="s">
        <v>105</v>
      </c>
      <c r="C46" s="56" t="s">
        <v>30</v>
      </c>
      <c r="D46" s="59">
        <f>IF(C46="y",VLOOKUP(LUT!C47,LUT!$C$4:$E$52,3),IF(C46="n",VLOOKUP(LUT!C47,LUT!$C$4:$E$52,2)," "))</f>
        <v>1</v>
      </c>
      <c r="E46" s="57"/>
      <c r="F46" s="64" t="s">
        <v>103</v>
      </c>
      <c r="G46" s="64" t="s">
        <v>23</v>
      </c>
    </row>
    <row r="47" spans="1:7" ht="45">
      <c r="A47" s="66">
        <v>8.01</v>
      </c>
      <c r="B47" s="67" t="s">
        <v>106</v>
      </c>
      <c r="C47" s="56" t="s">
        <v>37</v>
      </c>
      <c r="D47" s="59" t="str">
        <f>IF(C47="y",VLOOKUP(LUT!C48,LUT!$C$4:$E$52,3),IF(C47="n",VLOOKUP(LUT!C48,LUT!$C$4:$E$52,2)," "))</f>
        <v xml:space="preserve"> </v>
      </c>
      <c r="E47" s="57"/>
      <c r="F47" s="64" t="s">
        <v>107</v>
      </c>
      <c r="G47" s="64" t="s">
        <v>26</v>
      </c>
    </row>
    <row r="48" spans="1:7" ht="30">
      <c r="A48" s="66">
        <v>8.02</v>
      </c>
      <c r="B48" s="67" t="s">
        <v>108</v>
      </c>
      <c r="C48" s="56" t="s">
        <v>11</v>
      </c>
      <c r="D48" s="59">
        <f>IF(C48="y",VLOOKUP(LUT!C49,LUT!$C$4:$E$52,3),IF(C48="n",VLOOKUP(LUT!C49,LUT!$C$4:$E$52,2)," "))</f>
        <v>-1</v>
      </c>
      <c r="E48" s="57"/>
      <c r="F48" s="64" t="s">
        <v>109</v>
      </c>
      <c r="G48" s="64"/>
    </row>
    <row r="49" spans="1:7">
      <c r="A49" s="66">
        <v>8.0299999999999994</v>
      </c>
      <c r="B49" s="67" t="s">
        <v>110</v>
      </c>
      <c r="C49" s="56" t="s">
        <v>37</v>
      </c>
      <c r="D49" s="59" t="str">
        <f>IF(C49="y",VLOOKUP(LUT!C50,LUT!$C$4:$E$52,3),IF(C49="n",VLOOKUP(LUT!C50,LUT!$C$4:$E$52,2)," "))</f>
        <v xml:space="preserve"> </v>
      </c>
      <c r="E49" s="57"/>
      <c r="F49" s="64" t="s">
        <v>111</v>
      </c>
      <c r="G49" s="64"/>
    </row>
    <row r="50" spans="1:7" ht="60">
      <c r="A50" s="66">
        <v>8.0399999999999991</v>
      </c>
      <c r="B50" s="67" t="s">
        <v>112</v>
      </c>
      <c r="C50" s="56" t="s">
        <v>30</v>
      </c>
      <c r="D50" s="59">
        <f>IF(C50="y",VLOOKUP(LUT!C51,LUT!$C$4:$E$52,3),IF(C50="n",VLOOKUP(LUT!C51,LUT!$C$4:$E$52,2)," "))</f>
        <v>1</v>
      </c>
      <c r="E50" s="57"/>
      <c r="F50" s="64" t="s">
        <v>113</v>
      </c>
      <c r="G50" s="64" t="s">
        <v>114</v>
      </c>
    </row>
    <row r="51" spans="1:7">
      <c r="A51" s="66">
        <v>8.0500000000000007</v>
      </c>
      <c r="B51" s="67" t="s">
        <v>115</v>
      </c>
      <c r="C51" s="56" t="s">
        <v>37</v>
      </c>
      <c r="D51" s="59" t="str">
        <f>IF(C51="y",VLOOKUP(LUT!C52,LUT!$C$4:$E$52,3),IF(C51="n",VLOOKUP(LUT!C52,LUT!$C$4:$E$52,2)," "))</f>
        <v xml:space="preserve"> </v>
      </c>
      <c r="E51" s="57"/>
      <c r="F51" s="58" t="s">
        <v>116</v>
      </c>
      <c r="G51" s="64"/>
    </row>
    <row r="52" spans="1:7" ht="15.75" thickBot="1">
      <c r="A52" s="87"/>
      <c r="B52" s="86"/>
      <c r="C52" s="56"/>
      <c r="D52" s="56"/>
      <c r="E52" s="57"/>
      <c r="F52" s="56"/>
      <c r="G52" s="56"/>
    </row>
    <row r="53" spans="1:7" ht="29.25" customHeight="1" thickTop="1">
      <c r="A53" s="56"/>
      <c r="B53" s="56"/>
      <c r="C53" s="69" t="s">
        <v>117</v>
      </c>
      <c r="D53" s="61">
        <f>SUM(D3:D51)</f>
        <v>6</v>
      </c>
      <c r="E53" s="62"/>
      <c r="F53" s="56"/>
      <c r="G53" s="56"/>
    </row>
    <row r="54" spans="1:7" ht="33" customHeight="1" thickBot="1">
      <c r="A54" s="56"/>
      <c r="B54" s="56"/>
      <c r="C54" s="70" t="s">
        <v>118</v>
      </c>
      <c r="D54" s="21" t="str">
        <f>IF(E60="no","more info needed",IF(D53&lt;1,"accept",IF(D53&gt;6,"reject","evaluate further")))</f>
        <v>evaluate further</v>
      </c>
      <c r="E54" s="62"/>
      <c r="F54" s="56"/>
      <c r="G54" s="56"/>
    </row>
    <row r="55" spans="1:7" ht="16.5" thickTop="1" thickBot="1">
      <c r="A55" s="56"/>
      <c r="B55" s="56"/>
      <c r="C55" s="56"/>
      <c r="D55" s="56"/>
      <c r="E55" s="57"/>
      <c r="F55" s="56"/>
      <c r="G55" s="56"/>
    </row>
    <row r="56" spans="1:7" ht="46.5" thickTop="1" thickBot="1">
      <c r="A56" s="56"/>
      <c r="B56" s="22" t="s">
        <v>119</v>
      </c>
      <c r="C56" s="23" t="s">
        <v>120</v>
      </c>
      <c r="D56" s="19" t="s">
        <v>121</v>
      </c>
      <c r="E56" s="62"/>
      <c r="F56" s="63"/>
      <c r="G56" s="56"/>
    </row>
    <row r="57" spans="1:7" ht="15.75" thickTop="1">
      <c r="A57" s="56"/>
      <c r="B57" s="28" t="s">
        <v>122</v>
      </c>
      <c r="C57" s="24">
        <f>COUNTIF(C3:C15, "y")+COUNTIF(C3:C15, "n")+COUNTIF(C6:C7, "1")+COUNTIF(C6:C7, "2")+COUNTIF(C6:C7, "3")</f>
        <v>10</v>
      </c>
      <c r="D57" s="20" t="str">
        <f>IF(C57&gt;=2,"yes","no")</f>
        <v>yes</v>
      </c>
      <c r="E57" s="62"/>
      <c r="F57" s="56"/>
      <c r="G57" s="56"/>
    </row>
    <row r="58" spans="1:7">
      <c r="A58" s="56"/>
      <c r="B58" s="29" t="s">
        <v>123</v>
      </c>
      <c r="C58" s="24">
        <f>COUNTIF(C16:C27,"y")+COUNTIF(C16:C27,"n")</f>
        <v>12</v>
      </c>
      <c r="D58" s="20" t="str">
        <f>IF(C58&gt;=2,"yes","no")</f>
        <v>yes</v>
      </c>
      <c r="E58" s="62"/>
      <c r="F58" s="56"/>
      <c r="G58" s="56"/>
    </row>
    <row r="59" spans="1:7">
      <c r="A59" s="56"/>
      <c r="B59" s="28" t="s">
        <v>124</v>
      </c>
      <c r="C59" s="24">
        <f>COUNTIF(C28:C51,"y")+COUNTIF(C28:C51, "n")+COUNT(C28:C51)</f>
        <v>18</v>
      </c>
      <c r="D59" s="20" t="str">
        <f>IF(C59&gt;=6,"yes","no")</f>
        <v>yes</v>
      </c>
      <c r="E59" s="62"/>
      <c r="F59" s="56"/>
      <c r="G59" s="56"/>
    </row>
    <row r="60" spans="1:7" ht="15.75" thickBot="1">
      <c r="A60" s="56"/>
      <c r="B60" s="25" t="s">
        <v>125</v>
      </c>
      <c r="C60" s="26">
        <f>SUM(C57:C59)</f>
        <v>40</v>
      </c>
      <c r="D60" s="21" t="str">
        <f>IF(D57="no","no",IF(D58="no","no",IF(D59="no","no","yes")))</f>
        <v>yes</v>
      </c>
      <c r="E60" s="62"/>
      <c r="F60" s="56"/>
      <c r="G60" s="56"/>
    </row>
    <row r="61" spans="1:7" ht="15.75" thickTop="1">
      <c r="A61" s="56"/>
      <c r="B61" s="56"/>
      <c r="C61" s="56"/>
      <c r="D61" s="56"/>
      <c r="E61" s="57"/>
      <c r="F61" s="56"/>
      <c r="G61" s="56"/>
    </row>
    <row r="62" spans="1:7">
      <c r="A62" s="56"/>
      <c r="B62" s="56"/>
      <c r="C62" s="56"/>
      <c r="D62" s="56"/>
      <c r="E62" s="57"/>
      <c r="F62" s="56"/>
      <c r="G62" s="56"/>
    </row>
    <row r="63" spans="1:7" ht="15.75" thickBot="1">
      <c r="A63" s="56"/>
      <c r="B63" s="108" t="s">
        <v>126</v>
      </c>
      <c r="C63" s="108"/>
      <c r="D63" s="108"/>
      <c r="E63" s="62"/>
      <c r="F63" s="56"/>
      <c r="G63" s="56"/>
    </row>
    <row r="64" spans="1:7" ht="15.75" thickBot="1">
      <c r="A64" s="56"/>
      <c r="B64" s="109" t="s">
        <v>127</v>
      </c>
      <c r="C64" s="110"/>
      <c r="D64" s="111"/>
      <c r="E64" s="62"/>
      <c r="F64" s="56"/>
      <c r="G64" s="56"/>
    </row>
    <row r="65" spans="1:7">
      <c r="A65" s="56">
        <v>9.01</v>
      </c>
      <c r="B65" s="71" t="s">
        <v>128</v>
      </c>
      <c r="C65" s="112" t="s">
        <v>129</v>
      </c>
      <c r="D65" s="113"/>
      <c r="E65" s="62"/>
      <c r="F65" s="56"/>
      <c r="G65" s="56"/>
    </row>
    <row r="66" spans="1:7">
      <c r="A66" s="56">
        <v>9.02</v>
      </c>
      <c r="B66" s="71" t="s">
        <v>130</v>
      </c>
      <c r="C66" s="114" t="s">
        <v>129</v>
      </c>
      <c r="D66" s="115"/>
      <c r="E66" s="62"/>
      <c r="F66" s="56"/>
      <c r="G66" s="56"/>
    </row>
    <row r="67" spans="1:7">
      <c r="A67" s="56">
        <v>9.0299999999999994</v>
      </c>
      <c r="B67" s="71" t="s">
        <v>131</v>
      </c>
      <c r="C67" s="106" t="s">
        <v>132</v>
      </c>
      <c r="D67" s="107"/>
      <c r="E67" s="62"/>
      <c r="F67" s="56"/>
      <c r="G67" s="56"/>
    </row>
    <row r="68" spans="1:7">
      <c r="A68" s="56">
        <v>9.0399999999999991</v>
      </c>
      <c r="B68" s="71" t="s">
        <v>133</v>
      </c>
      <c r="C68" s="106" t="s">
        <v>132</v>
      </c>
      <c r="D68" s="107"/>
      <c r="E68" s="62"/>
      <c r="F68" s="56"/>
      <c r="G68" s="56"/>
    </row>
    <row r="69" spans="1:7">
      <c r="A69" s="56">
        <v>9.0500000000000007</v>
      </c>
      <c r="B69" s="71" t="s">
        <v>134</v>
      </c>
      <c r="C69" s="106" t="s">
        <v>132</v>
      </c>
      <c r="D69" s="107"/>
      <c r="E69" s="62"/>
      <c r="F69" s="56"/>
      <c r="G69" s="56"/>
    </row>
    <row r="70" spans="1:7">
      <c r="A70" s="56">
        <v>9.06</v>
      </c>
      <c r="B70" s="71" t="s">
        <v>135</v>
      </c>
      <c r="C70" s="106" t="s">
        <v>129</v>
      </c>
      <c r="D70" s="107"/>
      <c r="E70" s="62"/>
      <c r="F70" s="56"/>
      <c r="G70" s="56"/>
    </row>
    <row r="71" spans="1:7">
      <c r="A71" s="56">
        <v>9.07</v>
      </c>
      <c r="B71" s="71" t="s">
        <v>136</v>
      </c>
      <c r="C71" s="94" t="s">
        <v>129</v>
      </c>
      <c r="D71" s="97" t="str">
        <f>IF(C71="yes", IF(OR(C65="?", C66="?", C67="no", C67="?"), "eval.", IF(AND(C65="yes", C66="yes", C67="yes"), "reject", IF(OR(C65="no", C66="no"), "accept", " ")))," ")</f>
        <v>eval.</v>
      </c>
      <c r="E71" s="62"/>
      <c r="F71" s="56"/>
      <c r="G71" s="56"/>
    </row>
    <row r="72" spans="1:7">
      <c r="A72" s="56">
        <v>9.08</v>
      </c>
      <c r="B72" s="71" t="s">
        <v>137</v>
      </c>
      <c r="C72" s="92"/>
      <c r="D72" s="89" t="str">
        <f>IF(C71="yes","STOP",IF(C72="yes",IF(C68="no","accept",IF(AND(C68="yes",OR(C69="yes",C70="yes")),"reject",IF(OR(C68="?",C69="?",C70="?",C69="no",C70="no"),"eval.",""))), ""))</f>
        <v>STOP</v>
      </c>
      <c r="E72" s="62"/>
      <c r="F72" s="56"/>
      <c r="G72" s="56"/>
    </row>
    <row r="73" spans="1:7" ht="15.75" thickBot="1">
      <c r="A73" s="56">
        <v>9.09</v>
      </c>
      <c r="B73" s="91" t="s">
        <v>138</v>
      </c>
      <c r="C73" s="93"/>
      <c r="D73" s="90" t="str">
        <f>IF(OR(C71="yes",C72="yes"),"STOP",IF(C73="yes",IF(AND(LUT!I26="accept",LUT!I27="accept"),"accept",IF(AND(LUT!I26="eval.",LUT!I27="eval."),"eval.",IF(OR(LUT!I26="reject",LUT!I27="reject"),"reject",""))),""))</f>
        <v>STOP</v>
      </c>
      <c r="E73" s="62"/>
      <c r="F73" s="56"/>
      <c r="G73" s="56"/>
    </row>
    <row r="74" spans="1:7" ht="15.75" thickBot="1">
      <c r="A74" s="56"/>
      <c r="B74" s="72" t="s">
        <v>139</v>
      </c>
      <c r="C74" s="104" t="str">
        <f>IF(OR(D71="accept", D72="accept", D73="accept"), "Accept", IF(OR(D71="eval.", D72="eval.", D73="eval."), "Evaluate Further", IF(OR(D71="reject", D72="reject",D73="reject"), "Reject", "")))</f>
        <v>Evaluate Further</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75" thickBot="1"/>
    <row r="2" spans="2:18" ht="15.75" thickBot="1">
      <c r="B2" t="s">
        <v>140</v>
      </c>
      <c r="H2" s="116" t="s">
        <v>141</v>
      </c>
      <c r="I2" s="117"/>
      <c r="J2" s="117"/>
      <c r="K2" s="117"/>
      <c r="L2" s="117"/>
      <c r="M2" s="117"/>
      <c r="N2" s="117"/>
      <c r="O2" s="117"/>
      <c r="P2" s="117"/>
      <c r="Q2" s="117"/>
      <c r="R2" s="118"/>
    </row>
    <row r="3" spans="2:18">
      <c r="B3" s="1" t="s">
        <v>119</v>
      </c>
      <c r="C3" s="2" t="s">
        <v>4</v>
      </c>
      <c r="D3" s="2" t="s">
        <v>142</v>
      </c>
      <c r="E3" s="3" t="s">
        <v>143</v>
      </c>
      <c r="H3" s="149" t="s">
        <v>144</v>
      </c>
      <c r="I3" s="150"/>
      <c r="J3" s="150"/>
      <c r="K3" s="150"/>
      <c r="L3" s="150"/>
      <c r="M3" s="150"/>
      <c r="N3" s="150"/>
      <c r="O3" s="150"/>
      <c r="P3" s="150"/>
      <c r="Q3" s="150"/>
      <c r="R3" s="151"/>
    </row>
    <row r="4" spans="2:18">
      <c r="B4" s="4" t="s">
        <v>145</v>
      </c>
      <c r="C4">
        <v>1.01</v>
      </c>
      <c r="D4">
        <v>0</v>
      </c>
      <c r="E4" s="5">
        <v>-3</v>
      </c>
      <c r="H4" s="138" t="s">
        <v>146</v>
      </c>
      <c r="I4" s="139"/>
      <c r="J4" s="139"/>
      <c r="K4" s="139"/>
      <c r="L4" s="139"/>
      <c r="M4" s="139"/>
      <c r="N4" s="139"/>
      <c r="O4" s="139"/>
      <c r="P4" s="139"/>
      <c r="Q4" s="139"/>
      <c r="R4" s="16" t="s">
        <v>147</v>
      </c>
    </row>
    <row r="5" spans="2:18">
      <c r="B5" s="4" t="s">
        <v>124</v>
      </c>
      <c r="C5">
        <v>1.02</v>
      </c>
      <c r="D5">
        <v>-1</v>
      </c>
      <c r="E5" s="5">
        <v>1</v>
      </c>
      <c r="H5" s="138" t="s">
        <v>148</v>
      </c>
      <c r="I5" s="10">
        <v>2.0099999999999998</v>
      </c>
      <c r="J5" s="10">
        <v>1</v>
      </c>
      <c r="K5" s="10">
        <v>1</v>
      </c>
      <c r="L5" s="10">
        <v>1</v>
      </c>
      <c r="M5" s="10">
        <v>2</v>
      </c>
      <c r="N5" s="10">
        <v>2</v>
      </c>
      <c r="O5" s="10">
        <v>2</v>
      </c>
      <c r="P5" s="10">
        <v>3</v>
      </c>
      <c r="Q5" s="10">
        <v>3</v>
      </c>
      <c r="R5" s="11">
        <v>3</v>
      </c>
    </row>
    <row r="6" spans="2:18">
      <c r="B6" s="4" t="s">
        <v>124</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149</v>
      </c>
      <c r="E7" s="127"/>
      <c r="H7" s="121" t="s">
        <v>150</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124</v>
      </c>
      <c r="C9">
        <v>2.0299999999999998</v>
      </c>
      <c r="D9">
        <v>0</v>
      </c>
      <c r="E9" s="5">
        <v>1</v>
      </c>
      <c r="H9" s="121"/>
      <c r="I9" s="10">
        <v>3.03</v>
      </c>
      <c r="J9" s="10">
        <v>4</v>
      </c>
      <c r="K9" s="10">
        <v>2</v>
      </c>
      <c r="L9" s="10">
        <v>1</v>
      </c>
      <c r="M9" s="10">
        <v>4</v>
      </c>
      <c r="N9" s="10">
        <v>3</v>
      </c>
      <c r="O9" s="10">
        <v>2</v>
      </c>
      <c r="P9" s="10">
        <v>4</v>
      </c>
      <c r="Q9" s="10">
        <v>4</v>
      </c>
      <c r="R9" s="11">
        <v>4</v>
      </c>
    </row>
    <row r="10" spans="2:18">
      <c r="B10" s="4" t="s">
        <v>124</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124</v>
      </c>
      <c r="C12">
        <v>3.01</v>
      </c>
      <c r="D12" s="130" t="s">
        <v>151</v>
      </c>
      <c r="E12" s="131"/>
      <c r="H12" s="119" t="s">
        <v>152</v>
      </c>
      <c r="I12" s="120"/>
      <c r="J12" s="120"/>
      <c r="K12" s="120"/>
      <c r="L12" s="120"/>
      <c r="M12" s="120"/>
      <c r="N12" s="120"/>
      <c r="O12" s="120"/>
      <c r="P12" s="120"/>
      <c r="Q12" s="120"/>
      <c r="R12" s="123"/>
    </row>
    <row r="13" spans="2:18">
      <c r="B13" s="4" t="s">
        <v>153</v>
      </c>
      <c r="C13">
        <v>3.02</v>
      </c>
      <c r="D13" s="132"/>
      <c r="E13" s="133"/>
      <c r="H13" s="4" t="s">
        <v>154</v>
      </c>
      <c r="I13" s="10">
        <v>2.0499999999999998</v>
      </c>
      <c r="J13" s="10" t="s">
        <v>37</v>
      </c>
      <c r="K13" s="10" t="s">
        <v>155</v>
      </c>
      <c r="L13" s="10" t="s">
        <v>156</v>
      </c>
      <c r="M13" s="120"/>
      <c r="N13" s="120"/>
      <c r="O13" s="120"/>
      <c r="P13" s="120"/>
      <c r="Q13" s="120"/>
      <c r="R13" s="123"/>
    </row>
    <row r="14" spans="2:18">
      <c r="B14" s="4" t="s">
        <v>122</v>
      </c>
      <c r="C14">
        <v>3.03</v>
      </c>
      <c r="D14" s="132"/>
      <c r="E14" s="133"/>
      <c r="H14" s="121" t="s">
        <v>150</v>
      </c>
      <c r="I14" s="10">
        <v>3.01</v>
      </c>
      <c r="J14" s="10">
        <v>-1</v>
      </c>
      <c r="K14" s="10">
        <v>0</v>
      </c>
      <c r="L14" s="10">
        <v>-2</v>
      </c>
      <c r="M14" s="120"/>
      <c r="N14" s="120"/>
      <c r="O14" s="120"/>
      <c r="P14" s="120"/>
      <c r="Q14" s="120"/>
      <c r="R14" s="123"/>
    </row>
    <row r="15" spans="2:18" ht="15.75" thickBot="1">
      <c r="B15" s="4" t="s">
        <v>153</v>
      </c>
      <c r="C15">
        <v>3.04</v>
      </c>
      <c r="D15" s="132"/>
      <c r="E15" s="133"/>
      <c r="H15" s="122"/>
      <c r="I15" s="13" t="s">
        <v>157</v>
      </c>
      <c r="J15" s="13">
        <v>0</v>
      </c>
      <c r="K15" s="13">
        <v>0</v>
      </c>
      <c r="L15" s="13">
        <v>0</v>
      </c>
      <c r="M15" s="124"/>
      <c r="N15" s="124"/>
      <c r="O15" s="124"/>
      <c r="P15" s="124"/>
      <c r="Q15" s="124"/>
      <c r="R15" s="125"/>
    </row>
    <row r="16" spans="2:18">
      <c r="B16" s="4" t="s">
        <v>124</v>
      </c>
      <c r="C16">
        <v>3.05</v>
      </c>
      <c r="D16" s="134"/>
      <c r="E16" s="135"/>
    </row>
    <row r="17" spans="2:11">
      <c r="B17" s="4" t="s">
        <v>158</v>
      </c>
      <c r="C17">
        <v>4.01</v>
      </c>
      <c r="D17">
        <v>0</v>
      </c>
      <c r="E17" s="5">
        <v>1</v>
      </c>
    </row>
    <row r="18" spans="2:11" ht="15.75" thickBot="1">
      <c r="B18" s="4" t="s">
        <v>124</v>
      </c>
      <c r="C18">
        <v>4.0199999999999996</v>
      </c>
      <c r="D18">
        <v>0</v>
      </c>
      <c r="E18" s="5">
        <v>1</v>
      </c>
    </row>
    <row r="19" spans="2:11">
      <c r="B19" s="4" t="s">
        <v>124</v>
      </c>
      <c r="C19">
        <v>4.03</v>
      </c>
      <c r="D19">
        <v>0</v>
      </c>
      <c r="E19" s="5">
        <v>1</v>
      </c>
      <c r="H19" s="116" t="s">
        <v>159</v>
      </c>
      <c r="I19" s="117"/>
      <c r="J19" s="117"/>
      <c r="K19" s="118"/>
    </row>
    <row r="20" spans="2:11">
      <c r="B20" s="4" t="s">
        <v>122</v>
      </c>
      <c r="C20">
        <v>4.04</v>
      </c>
      <c r="D20">
        <v>-1</v>
      </c>
      <c r="E20" s="5">
        <v>1</v>
      </c>
      <c r="H20" s="4" t="s">
        <v>160</v>
      </c>
      <c r="I20" s="12">
        <v>1</v>
      </c>
      <c r="J20" s="12">
        <v>2</v>
      </c>
      <c r="K20" s="9">
        <v>4</v>
      </c>
    </row>
    <row r="21" spans="2:11" ht="15.75" thickBot="1">
      <c r="B21" s="4" t="s">
        <v>124</v>
      </c>
      <c r="C21">
        <v>4.05</v>
      </c>
      <c r="D21">
        <v>0</v>
      </c>
      <c r="E21" s="5">
        <v>1</v>
      </c>
      <c r="H21" s="6" t="s">
        <v>6</v>
      </c>
      <c r="I21" s="14">
        <v>1</v>
      </c>
      <c r="J21" s="14">
        <v>0</v>
      </c>
      <c r="K21" s="15">
        <v>-1</v>
      </c>
    </row>
    <row r="22" spans="2:11">
      <c r="B22" s="4" t="s">
        <v>124</v>
      </c>
      <c r="C22">
        <v>4.0599999999999996</v>
      </c>
      <c r="D22">
        <v>0</v>
      </c>
      <c r="E22" s="5">
        <v>1</v>
      </c>
    </row>
    <row r="23" spans="2:11">
      <c r="B23" s="4" t="s">
        <v>124</v>
      </c>
      <c r="C23">
        <v>4.07</v>
      </c>
      <c r="D23">
        <v>0</v>
      </c>
      <c r="E23" s="5">
        <v>1</v>
      </c>
    </row>
    <row r="24" spans="2:11" ht="15.75" thickBot="1">
      <c r="B24" s="4" t="s">
        <v>153</v>
      </c>
      <c r="C24">
        <v>4.08</v>
      </c>
      <c r="D24">
        <v>0</v>
      </c>
      <c r="E24" s="5">
        <v>1</v>
      </c>
    </row>
    <row r="25" spans="2:11">
      <c r="B25" s="4" t="s">
        <v>153</v>
      </c>
      <c r="C25">
        <v>4.09</v>
      </c>
      <c r="D25">
        <v>0</v>
      </c>
      <c r="E25" s="5">
        <v>1</v>
      </c>
      <c r="H25" s="140" t="s">
        <v>161</v>
      </c>
      <c r="I25" s="141"/>
      <c r="J25" s="141"/>
      <c r="K25" s="142"/>
    </row>
    <row r="26" spans="2:11">
      <c r="B26" s="4" t="s">
        <v>153</v>
      </c>
      <c r="C26">
        <v>4.0999999999999996</v>
      </c>
      <c r="D26">
        <v>0</v>
      </c>
      <c r="E26" s="5">
        <v>1</v>
      </c>
      <c r="H26" s="95" t="s">
        <v>162</v>
      </c>
      <c r="I26" s="152" t="str">
        <f>IF(OR('WRA Worksheet'!C65="?",'WRA Worksheet'!C66="?",'WRA Worksheet'!C67="?",'WRA Worksheet'!C67="no"),"eval.",IF(AND('WRA Worksheet'!C65="yes",'WRA Worksheet'!C66="yes",'WRA Worksheet'!C67="yes"),"reject",IF(OR('WRA Worksheet'!C65="no",'WRA Worksheet'!C66="no"),"accept","")))</f>
        <v>eval.</v>
      </c>
      <c r="J26" s="152"/>
      <c r="K26" s="153"/>
    </row>
    <row r="27" spans="2:11" ht="15.75" thickBot="1">
      <c r="B27" s="4" t="s">
        <v>153</v>
      </c>
      <c r="C27">
        <v>4.1100000000000003</v>
      </c>
      <c r="D27">
        <v>0</v>
      </c>
      <c r="E27" s="5">
        <v>1</v>
      </c>
      <c r="H27" s="96" t="s">
        <v>163</v>
      </c>
      <c r="I27" s="154" t="str">
        <f>IF('WRA Worksheet'!C68="no","accept",IF(AND('WRA Worksheet'!C68="yes",OR('WRA Worksheet'!C69="yes",'WRA Worksheet'!C70="yes")),"reject",IF(OR('WRA Worksheet'!C68="?",'WRA Worksheet'!C69="?",'WRA Worksheet'!C70="?",'WRA Worksheet'!C69="no",'WRA Worksheet'!C70="no"),"eval.","")))</f>
        <v>accept</v>
      </c>
      <c r="J27" s="154"/>
      <c r="K27" s="155"/>
    </row>
    <row r="28" spans="2:11">
      <c r="B28" s="4" t="s">
        <v>124</v>
      </c>
      <c r="C28">
        <v>4.12</v>
      </c>
      <c r="D28">
        <v>0</v>
      </c>
      <c r="E28" s="5">
        <v>1</v>
      </c>
    </row>
    <row r="29" spans="2:11">
      <c r="B29" s="4" t="s">
        <v>164</v>
      </c>
      <c r="C29">
        <v>5.01</v>
      </c>
      <c r="D29">
        <v>0</v>
      </c>
      <c r="E29" s="5">
        <v>5</v>
      </c>
    </row>
    <row r="30" spans="2:11">
      <c r="B30" s="4" t="s">
        <v>124</v>
      </c>
      <c r="C30">
        <v>5.0199999999999996</v>
      </c>
      <c r="D30">
        <v>0</v>
      </c>
      <c r="E30" s="5">
        <v>1</v>
      </c>
    </row>
    <row r="31" spans="2:11">
      <c r="B31" s="4" t="s">
        <v>153</v>
      </c>
      <c r="C31">
        <v>5.03</v>
      </c>
      <c r="D31">
        <v>0</v>
      </c>
      <c r="E31" s="5">
        <v>1</v>
      </c>
    </row>
    <row r="32" spans="2:11">
      <c r="B32" s="4" t="s">
        <v>124</v>
      </c>
      <c r="C32">
        <v>5.04</v>
      </c>
      <c r="D32">
        <v>0</v>
      </c>
      <c r="E32" s="5">
        <v>1</v>
      </c>
    </row>
    <row r="33" spans="2:5">
      <c r="B33" s="4" t="s">
        <v>124</v>
      </c>
      <c r="C33">
        <v>6.01</v>
      </c>
      <c r="D33">
        <v>0</v>
      </c>
      <c r="E33" s="5">
        <v>1</v>
      </c>
    </row>
    <row r="34" spans="2:5">
      <c r="B34" s="4" t="s">
        <v>124</v>
      </c>
      <c r="C34">
        <v>6.02</v>
      </c>
      <c r="D34">
        <v>-1</v>
      </c>
      <c r="E34" s="5">
        <v>1</v>
      </c>
    </row>
    <row r="35" spans="2:5">
      <c r="B35" s="4" t="s">
        <v>122</v>
      </c>
      <c r="C35">
        <v>6.03</v>
      </c>
      <c r="D35">
        <v>-1</v>
      </c>
      <c r="E35" s="5">
        <v>1</v>
      </c>
    </row>
    <row r="36" spans="2:5">
      <c r="B36" s="4" t="s">
        <v>124</v>
      </c>
      <c r="C36">
        <v>6.04</v>
      </c>
      <c r="D36">
        <v>-1</v>
      </c>
      <c r="E36" s="5">
        <v>1</v>
      </c>
    </row>
    <row r="37" spans="2:5">
      <c r="B37" s="4" t="s">
        <v>124</v>
      </c>
      <c r="C37">
        <v>6.05</v>
      </c>
      <c r="D37">
        <v>0</v>
      </c>
      <c r="E37" s="5">
        <v>-1</v>
      </c>
    </row>
    <row r="38" spans="2:5">
      <c r="B38" s="4" t="s">
        <v>122</v>
      </c>
      <c r="C38">
        <v>6.06</v>
      </c>
      <c r="D38">
        <v>-1</v>
      </c>
      <c r="E38" s="5">
        <v>1</v>
      </c>
    </row>
    <row r="39" spans="2:5">
      <c r="B39" s="4" t="s">
        <v>124</v>
      </c>
      <c r="C39">
        <v>6.07</v>
      </c>
      <c r="D39" s="136" t="s">
        <v>165</v>
      </c>
      <c r="E39" s="137"/>
    </row>
    <row r="40" spans="2:5">
      <c r="B40" s="4" t="s">
        <v>122</v>
      </c>
      <c r="C40">
        <v>7.01</v>
      </c>
      <c r="D40">
        <v>-1</v>
      </c>
      <c r="E40" s="5">
        <v>1</v>
      </c>
    </row>
    <row r="41" spans="2:5">
      <c r="B41" s="4" t="s">
        <v>124</v>
      </c>
      <c r="C41">
        <v>7.02</v>
      </c>
      <c r="D41">
        <v>-1</v>
      </c>
      <c r="E41" s="5">
        <v>1</v>
      </c>
    </row>
    <row r="42" spans="2:5">
      <c r="B42" s="4" t="s">
        <v>122</v>
      </c>
      <c r="C42">
        <v>7.03</v>
      </c>
      <c r="D42">
        <v>-1</v>
      </c>
      <c r="E42" s="5">
        <v>1</v>
      </c>
    </row>
    <row r="43" spans="2:5">
      <c r="B43" s="4" t="s">
        <v>124</v>
      </c>
      <c r="C43">
        <v>7.04</v>
      </c>
      <c r="D43">
        <v>-1</v>
      </c>
      <c r="E43" s="5">
        <v>1</v>
      </c>
    </row>
    <row r="44" spans="2:5">
      <c r="B44" s="4" t="s">
        <v>153</v>
      </c>
      <c r="C44">
        <v>7.05</v>
      </c>
      <c r="D44">
        <v>-1</v>
      </c>
      <c r="E44" s="5">
        <v>1</v>
      </c>
    </row>
    <row r="45" spans="2:5">
      <c r="B45" s="4" t="s">
        <v>153</v>
      </c>
      <c r="C45">
        <v>7.06</v>
      </c>
      <c r="D45">
        <v>-1</v>
      </c>
      <c r="E45" s="5">
        <v>1</v>
      </c>
    </row>
    <row r="46" spans="2:5">
      <c r="B46" s="4" t="s">
        <v>124</v>
      </c>
      <c r="C46">
        <v>7.07</v>
      </c>
      <c r="D46">
        <v>-1</v>
      </c>
      <c r="E46" s="5">
        <v>1</v>
      </c>
    </row>
    <row r="47" spans="2:5">
      <c r="B47" s="4" t="s">
        <v>124</v>
      </c>
      <c r="C47">
        <v>7.08</v>
      </c>
      <c r="D47">
        <v>-1</v>
      </c>
      <c r="E47" s="5">
        <v>1</v>
      </c>
    </row>
    <row r="48" spans="2:5">
      <c r="B48" s="4" t="s">
        <v>124</v>
      </c>
      <c r="C48">
        <v>8.01</v>
      </c>
      <c r="D48">
        <v>-1</v>
      </c>
      <c r="E48" s="5">
        <v>1</v>
      </c>
    </row>
    <row r="49" spans="2:5">
      <c r="B49" s="4" t="s">
        <v>124</v>
      </c>
      <c r="C49">
        <v>8.02</v>
      </c>
      <c r="D49">
        <v>-1</v>
      </c>
      <c r="E49" s="5">
        <v>1</v>
      </c>
    </row>
    <row r="50" spans="2:5">
      <c r="B50" s="4" t="s">
        <v>122</v>
      </c>
      <c r="C50">
        <v>8.0299999999999994</v>
      </c>
      <c r="D50">
        <v>1</v>
      </c>
      <c r="E50" s="5">
        <v>-1</v>
      </c>
    </row>
    <row r="51" spans="2:5">
      <c r="B51" s="4" t="s">
        <v>122</v>
      </c>
      <c r="C51">
        <v>8.0399999999999991</v>
      </c>
      <c r="D51">
        <v>-1</v>
      </c>
      <c r="E51" s="5">
        <v>1</v>
      </c>
    </row>
    <row r="52" spans="2:5">
      <c r="B52" s="4" t="s">
        <v>124</v>
      </c>
      <c r="C52">
        <v>8.0500000000000007</v>
      </c>
      <c r="D52">
        <v>1</v>
      </c>
      <c r="E52" s="5">
        <v>-1</v>
      </c>
    </row>
    <row r="53" spans="2:5">
      <c r="B53" s="4"/>
      <c r="E53" s="5"/>
    </row>
    <row r="54" spans="2:5" ht="15.7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08 July 2025 Prepared by Cameron Deelstra</v>
      </c>
      <c r="B1" s="147"/>
      <c r="C1" s="147"/>
      <c r="D1" s="98" t="s">
        <v>166</v>
      </c>
    </row>
    <row r="2" spans="1:4" ht="18.75">
      <c r="A2" s="143" t="s">
        <v>167</v>
      </c>
      <c r="B2" s="144"/>
      <c r="C2" s="73" t="s">
        <v>5</v>
      </c>
      <c r="D2" s="73" t="s">
        <v>6</v>
      </c>
    </row>
    <row r="3" spans="1:4">
      <c r="A3" s="74">
        <v>1.01</v>
      </c>
      <c r="B3" s="75" t="s">
        <v>10</v>
      </c>
      <c r="C3" s="76" t="str">
        <f>'WRA Worksheet'!C3</f>
        <v>n</v>
      </c>
      <c r="D3" s="82">
        <f>'WRA Worksheet'!D3</f>
        <v>0</v>
      </c>
    </row>
    <row r="4" spans="1:4">
      <c r="A4" s="74">
        <v>1.02</v>
      </c>
      <c r="B4" s="75" t="s">
        <v>13</v>
      </c>
      <c r="C4" s="76">
        <f>'WRA Worksheet'!C4</f>
        <v>0</v>
      </c>
      <c r="D4" s="82" t="str">
        <f>'WRA Worksheet'!D4</f>
        <v xml:space="preserve"> </v>
      </c>
    </row>
    <row r="5" spans="1:4">
      <c r="A5" s="74">
        <v>1.03</v>
      </c>
      <c r="B5" s="75" t="s">
        <v>14</v>
      </c>
      <c r="C5" s="76">
        <f>'WRA Worksheet'!C5</f>
        <v>0</v>
      </c>
      <c r="D5" s="82" t="str">
        <f>'WRA Worksheet'!D5</f>
        <v xml:space="preserve"> </v>
      </c>
    </row>
    <row r="6" spans="1:4" ht="48">
      <c r="A6" s="74">
        <v>2.0099999999999998</v>
      </c>
      <c r="B6" s="77" t="s">
        <v>168</v>
      </c>
      <c r="C6" s="76">
        <f>'WRA Worksheet'!C6</f>
        <v>1</v>
      </c>
      <c r="D6" s="83"/>
    </row>
    <row r="7" spans="1:4">
      <c r="A7" s="74">
        <v>2.02</v>
      </c>
      <c r="B7" s="75" t="s">
        <v>169</v>
      </c>
      <c r="C7" s="76">
        <f>'WRA Worksheet'!C7</f>
        <v>3</v>
      </c>
      <c r="D7" s="83"/>
    </row>
    <row r="8" spans="1:4">
      <c r="A8" s="74">
        <v>2.0299999999999998</v>
      </c>
      <c r="B8" s="75" t="s">
        <v>20</v>
      </c>
      <c r="C8" s="76" t="str">
        <f>'WRA Worksheet'!C8</f>
        <v>n</v>
      </c>
      <c r="D8" s="82">
        <f>'WRA Worksheet'!D8</f>
        <v>0</v>
      </c>
    </row>
    <row r="9" spans="1:4" ht="48">
      <c r="A9" s="74">
        <v>2.04</v>
      </c>
      <c r="B9" s="78" t="s">
        <v>21</v>
      </c>
      <c r="C9" s="76" t="str">
        <f>'WRA Worksheet'!C9</f>
        <v>n</v>
      </c>
      <c r="D9" s="82">
        <f>'WRA Worksheet'!D9</f>
        <v>0</v>
      </c>
    </row>
    <row r="10" spans="1:4" ht="30">
      <c r="A10" s="74">
        <v>2.0499999999999998</v>
      </c>
      <c r="B10" s="75" t="s">
        <v>24</v>
      </c>
      <c r="C10" s="79" t="str">
        <f>'WRA Worksheet'!C10</f>
        <v>n</v>
      </c>
      <c r="D10" s="83"/>
    </row>
    <row r="11" spans="1:4">
      <c r="A11" s="74">
        <v>3.01</v>
      </c>
      <c r="B11" s="75" t="s">
        <v>27</v>
      </c>
      <c r="C11" s="76" t="str">
        <f>'WRA Worksheet'!C11</f>
        <v>n</v>
      </c>
      <c r="D11" s="82">
        <f>'WRA Worksheet'!D11</f>
        <v>0</v>
      </c>
    </row>
    <row r="12" spans="1:4">
      <c r="A12" s="74">
        <v>3.02</v>
      </c>
      <c r="B12" s="75" t="s">
        <v>29</v>
      </c>
      <c r="C12" s="76" t="str">
        <f>'WRA Worksheet'!C12</f>
        <v>y</v>
      </c>
      <c r="D12" s="82">
        <f>'WRA Worksheet'!D12</f>
        <v>1</v>
      </c>
    </row>
    <row r="13" spans="1:4">
      <c r="A13" s="74">
        <v>3.03</v>
      </c>
      <c r="B13" s="75" t="s">
        <v>33</v>
      </c>
      <c r="C13" s="76" t="str">
        <f>'WRA Worksheet'!C13</f>
        <v>n</v>
      </c>
      <c r="D13" s="82">
        <f>'WRA Worksheet'!D13</f>
        <v>0</v>
      </c>
    </row>
    <row r="14" spans="1:4">
      <c r="A14" s="74">
        <v>3.04</v>
      </c>
      <c r="B14" s="75" t="s">
        <v>34</v>
      </c>
      <c r="C14" s="76" t="str">
        <f>'WRA Worksheet'!C14</f>
        <v>n</v>
      </c>
      <c r="D14" s="82">
        <f>'WRA Worksheet'!D14</f>
        <v>0</v>
      </c>
    </row>
    <row r="15" spans="1:4">
      <c r="A15" s="74">
        <v>3.05</v>
      </c>
      <c r="B15" s="75" t="s">
        <v>36</v>
      </c>
      <c r="C15" s="76" t="str">
        <f>'WRA Worksheet'!C15</f>
        <v>?</v>
      </c>
      <c r="D15" s="82" t="str">
        <f>'WRA Worksheet'!D15</f>
        <v/>
      </c>
    </row>
    <row r="16" spans="1:4">
      <c r="A16" s="74">
        <v>4.01</v>
      </c>
      <c r="B16" s="75" t="s">
        <v>40</v>
      </c>
      <c r="C16" s="76" t="str">
        <f>'WRA Worksheet'!C16</f>
        <v>y</v>
      </c>
      <c r="D16" s="82">
        <f>'WRA Worksheet'!D16</f>
        <v>1</v>
      </c>
    </row>
    <row r="17" spans="1:4">
      <c r="A17" s="74">
        <v>4.0199999999999996</v>
      </c>
      <c r="B17" s="75" t="s">
        <v>42</v>
      </c>
      <c r="C17" s="76" t="str">
        <f>'WRA Worksheet'!C17</f>
        <v>n</v>
      </c>
      <c r="D17" s="82">
        <f>'WRA Worksheet'!D17</f>
        <v>0</v>
      </c>
    </row>
    <row r="18" spans="1:4">
      <c r="A18" s="74">
        <v>4.03</v>
      </c>
      <c r="B18" s="75" t="s">
        <v>43</v>
      </c>
      <c r="C18" s="76" t="str">
        <f>'WRA Worksheet'!C18</f>
        <v>n</v>
      </c>
      <c r="D18" s="82">
        <f>'WRA Worksheet'!D18</f>
        <v>0</v>
      </c>
    </row>
    <row r="19" spans="1:4">
      <c r="A19" s="74">
        <v>4.04</v>
      </c>
      <c r="B19" s="75" t="s">
        <v>44</v>
      </c>
      <c r="C19" s="76" t="str">
        <f>'WRA Worksheet'!C19</f>
        <v>n</v>
      </c>
      <c r="D19" s="82">
        <f>'WRA Worksheet'!D19</f>
        <v>-1</v>
      </c>
    </row>
    <row r="20" spans="1:4">
      <c r="A20" s="74">
        <v>4.05</v>
      </c>
      <c r="B20" s="75" t="s">
        <v>47</v>
      </c>
      <c r="C20" s="76" t="str">
        <f>'WRA Worksheet'!C20</f>
        <v>n</v>
      </c>
      <c r="D20" s="82">
        <f>'WRA Worksheet'!D20</f>
        <v>0</v>
      </c>
    </row>
    <row r="21" spans="1:4">
      <c r="A21" s="74">
        <v>4.0599999999999996</v>
      </c>
      <c r="B21" s="75" t="s">
        <v>48</v>
      </c>
      <c r="C21" s="76" t="str">
        <f>'WRA Worksheet'!C21</f>
        <v>n</v>
      </c>
      <c r="D21" s="82">
        <f>'WRA Worksheet'!D21</f>
        <v>0</v>
      </c>
    </row>
    <row r="22" spans="1:4">
      <c r="A22" s="74">
        <v>4.07</v>
      </c>
      <c r="B22" s="75" t="s">
        <v>50</v>
      </c>
      <c r="C22" s="76" t="str">
        <f>'WRA Worksheet'!C22</f>
        <v>n</v>
      </c>
      <c r="D22" s="82">
        <f>'WRA Worksheet'!D22</f>
        <v>0</v>
      </c>
    </row>
    <row r="23" spans="1:4">
      <c r="A23" s="74">
        <v>4.08</v>
      </c>
      <c r="B23" s="75" t="s">
        <v>52</v>
      </c>
      <c r="C23" s="76" t="str">
        <f>'WRA Worksheet'!C23</f>
        <v>n</v>
      </c>
      <c r="D23" s="82">
        <f>'WRA Worksheet'!D23</f>
        <v>0</v>
      </c>
    </row>
    <row r="24" spans="1:4">
      <c r="A24" s="74">
        <v>4.09</v>
      </c>
      <c r="B24" s="75" t="s">
        <v>54</v>
      </c>
      <c r="C24" s="76" t="str">
        <f>'WRA Worksheet'!C24</f>
        <v>y</v>
      </c>
      <c r="D24" s="82">
        <f>'WRA Worksheet'!D24</f>
        <v>1</v>
      </c>
    </row>
    <row r="25" spans="1:4" ht="45">
      <c r="A25" s="74">
        <v>4.0999999999999996</v>
      </c>
      <c r="B25" s="80" t="s">
        <v>57</v>
      </c>
      <c r="C25" s="76" t="str">
        <f>'WRA Worksheet'!C25</f>
        <v>y</v>
      </c>
      <c r="D25" s="82">
        <f>'WRA Worksheet'!D25</f>
        <v>1</v>
      </c>
    </row>
    <row r="26" spans="1:4">
      <c r="A26" s="74">
        <v>4.1100000000000003</v>
      </c>
      <c r="B26" s="75" t="s">
        <v>59</v>
      </c>
      <c r="C26" s="76" t="str">
        <f>'WRA Worksheet'!C26</f>
        <v>n</v>
      </c>
      <c r="D26" s="82">
        <f>'WRA Worksheet'!D26</f>
        <v>0</v>
      </c>
    </row>
    <row r="27" spans="1:4">
      <c r="A27" s="74">
        <v>4.12</v>
      </c>
      <c r="B27" s="75" t="s">
        <v>62</v>
      </c>
      <c r="C27" s="76" t="str">
        <f>'WRA Worksheet'!C27</f>
        <v>y</v>
      </c>
      <c r="D27" s="82">
        <f>'WRA Worksheet'!D27</f>
        <v>1</v>
      </c>
    </row>
    <row r="28" spans="1:4">
      <c r="A28" s="74">
        <v>5.01</v>
      </c>
      <c r="B28" s="75" t="s">
        <v>64</v>
      </c>
      <c r="C28" s="76" t="str">
        <f>'WRA Worksheet'!C28</f>
        <v>n</v>
      </c>
      <c r="D28" s="82">
        <f>'WRA Worksheet'!D28</f>
        <v>0</v>
      </c>
    </row>
    <row r="29" spans="1:4">
      <c r="A29" s="74">
        <v>5.0199999999999996</v>
      </c>
      <c r="B29" s="75" t="s">
        <v>67</v>
      </c>
      <c r="C29" s="76" t="str">
        <f>'WRA Worksheet'!C29</f>
        <v>n</v>
      </c>
      <c r="D29" s="82">
        <f>'WRA Worksheet'!D29</f>
        <v>0</v>
      </c>
    </row>
    <row r="30" spans="1:4">
      <c r="A30" s="74">
        <v>5.03</v>
      </c>
      <c r="B30" s="75" t="s">
        <v>69</v>
      </c>
      <c r="C30" s="76" t="str">
        <f>'WRA Worksheet'!C30</f>
        <v>?</v>
      </c>
      <c r="D30" s="82" t="str">
        <f>'WRA Worksheet'!D30</f>
        <v xml:space="preserve"> </v>
      </c>
    </row>
    <row r="31" spans="1:4">
      <c r="A31" s="74">
        <v>5.04</v>
      </c>
      <c r="B31" s="75" t="s">
        <v>72</v>
      </c>
      <c r="C31" s="76" t="str">
        <f>'WRA Worksheet'!C31</f>
        <v>n</v>
      </c>
      <c r="D31" s="82">
        <f>'WRA Worksheet'!D31</f>
        <v>0</v>
      </c>
    </row>
    <row r="32" spans="1:4">
      <c r="A32" s="74">
        <v>6.01</v>
      </c>
      <c r="B32" s="75" t="s">
        <v>75</v>
      </c>
      <c r="C32" s="76" t="str">
        <f>'WRA Worksheet'!C32</f>
        <v>n</v>
      </c>
      <c r="D32" s="82">
        <f>'WRA Worksheet'!D32</f>
        <v>0</v>
      </c>
    </row>
    <row r="33" spans="1:4">
      <c r="A33" s="74">
        <v>6.02</v>
      </c>
      <c r="B33" s="75" t="s">
        <v>78</v>
      </c>
      <c r="C33" s="76" t="str">
        <f>'WRA Worksheet'!C33</f>
        <v>y</v>
      </c>
      <c r="D33" s="82">
        <f>'WRA Worksheet'!D33</f>
        <v>1</v>
      </c>
    </row>
    <row r="34" spans="1:4">
      <c r="A34" s="74">
        <v>6.03</v>
      </c>
      <c r="B34" s="75" t="s">
        <v>81</v>
      </c>
      <c r="C34" s="76" t="str">
        <f>'WRA Worksheet'!C34</f>
        <v>n</v>
      </c>
      <c r="D34" s="82">
        <f>'WRA Worksheet'!D34</f>
        <v>-1</v>
      </c>
    </row>
    <row r="35" spans="1:4">
      <c r="A35" s="74">
        <v>6.04</v>
      </c>
      <c r="B35" s="75" t="s">
        <v>82</v>
      </c>
      <c r="C35" s="76" t="str">
        <f>'WRA Worksheet'!C35</f>
        <v>y</v>
      </c>
      <c r="D35" s="82">
        <f>'WRA Worksheet'!D35</f>
        <v>1</v>
      </c>
    </row>
    <row r="36" spans="1:4">
      <c r="A36" s="74">
        <v>6.05</v>
      </c>
      <c r="B36" s="75" t="s">
        <v>85</v>
      </c>
      <c r="C36" s="76" t="str">
        <f>'WRA Worksheet'!C36</f>
        <v>n</v>
      </c>
      <c r="D36" s="82">
        <f>'WRA Worksheet'!D36</f>
        <v>0</v>
      </c>
    </row>
    <row r="37" spans="1:4">
      <c r="A37" s="74">
        <v>6.06</v>
      </c>
      <c r="B37" s="75" t="s">
        <v>87</v>
      </c>
      <c r="C37" s="76" t="str">
        <f>'WRA Worksheet'!C37</f>
        <v>y</v>
      </c>
      <c r="D37" s="82">
        <f>'WRA Worksheet'!D37</f>
        <v>1</v>
      </c>
    </row>
    <row r="38" spans="1:4">
      <c r="A38" s="74">
        <v>6.07</v>
      </c>
      <c r="B38" s="75" t="s">
        <v>90</v>
      </c>
      <c r="C38" s="81" t="str">
        <f>'WRA Worksheet'!C38</f>
        <v>4 or more</v>
      </c>
      <c r="D38" s="82">
        <f>'WRA Worksheet'!D38</f>
        <v>-1</v>
      </c>
    </row>
    <row r="39" spans="1:4" ht="30">
      <c r="A39" s="74">
        <v>7.01</v>
      </c>
      <c r="B39" s="75" t="s">
        <v>93</v>
      </c>
      <c r="C39" s="76" t="str">
        <f>'WRA Worksheet'!C39</f>
        <v>y</v>
      </c>
      <c r="D39" s="82">
        <f>'WRA Worksheet'!D39</f>
        <v>1</v>
      </c>
    </row>
    <row r="40" spans="1:4">
      <c r="A40" s="74">
        <v>7.02</v>
      </c>
      <c r="B40" s="75" t="s">
        <v>95</v>
      </c>
      <c r="C40" s="76" t="str">
        <f>'WRA Worksheet'!C40</f>
        <v>y</v>
      </c>
      <c r="D40" s="82">
        <f>'WRA Worksheet'!D40</f>
        <v>1</v>
      </c>
    </row>
    <row r="41" spans="1:4">
      <c r="A41" s="74">
        <v>7.03</v>
      </c>
      <c r="B41" s="75" t="s">
        <v>97</v>
      </c>
      <c r="C41" s="76" t="str">
        <f>'WRA Worksheet'!C41</f>
        <v>n</v>
      </c>
      <c r="D41" s="82">
        <f>'WRA Worksheet'!D41</f>
        <v>-1</v>
      </c>
    </row>
    <row r="42" spans="1:4">
      <c r="A42" s="74">
        <v>7.04</v>
      </c>
      <c r="B42" s="75" t="s">
        <v>99</v>
      </c>
      <c r="C42" s="76" t="str">
        <f>'WRA Worksheet'!C42</f>
        <v>n</v>
      </c>
      <c r="D42" s="82">
        <f>'WRA Worksheet'!D42</f>
        <v>-1</v>
      </c>
    </row>
    <row r="43" spans="1:4">
      <c r="A43" s="74">
        <v>7.05</v>
      </c>
      <c r="B43" s="75" t="s">
        <v>100</v>
      </c>
      <c r="C43" s="76" t="str">
        <f>'WRA Worksheet'!C43</f>
        <v>?</v>
      </c>
      <c r="D43" s="82" t="str">
        <f>'WRA Worksheet'!D43</f>
        <v xml:space="preserve"> </v>
      </c>
    </row>
    <row r="44" spans="1:4">
      <c r="A44" s="74">
        <v>7.06</v>
      </c>
      <c r="B44" s="75" t="s">
        <v>102</v>
      </c>
      <c r="C44" s="76" t="str">
        <f>'WRA Worksheet'!C44</f>
        <v>y</v>
      </c>
      <c r="D44" s="82">
        <f>'WRA Worksheet'!D44</f>
        <v>1</v>
      </c>
    </row>
    <row r="45" spans="1:4">
      <c r="A45" s="74">
        <v>7.07</v>
      </c>
      <c r="B45" s="75" t="s">
        <v>104</v>
      </c>
      <c r="C45" s="76" t="str">
        <f>'WRA Worksheet'!C45</f>
        <v>n</v>
      </c>
      <c r="D45" s="82">
        <f>'WRA Worksheet'!D45</f>
        <v>-1</v>
      </c>
    </row>
    <row r="46" spans="1:4">
      <c r="A46" s="74">
        <v>7.08</v>
      </c>
      <c r="B46" s="75" t="s">
        <v>105</v>
      </c>
      <c r="C46" s="76" t="str">
        <f>'WRA Worksheet'!C46</f>
        <v>y</v>
      </c>
      <c r="D46" s="82">
        <f>'WRA Worksheet'!D46</f>
        <v>1</v>
      </c>
    </row>
    <row r="47" spans="1:4">
      <c r="A47" s="74">
        <v>8.01</v>
      </c>
      <c r="B47" s="75" t="s">
        <v>106</v>
      </c>
      <c r="C47" s="76" t="str">
        <f>'WRA Worksheet'!C47</f>
        <v>?</v>
      </c>
      <c r="D47" s="82" t="str">
        <f>'WRA Worksheet'!D47</f>
        <v xml:space="preserve"> </v>
      </c>
    </row>
    <row r="48" spans="1:4">
      <c r="A48" s="74">
        <v>8.02</v>
      </c>
      <c r="B48" s="75" t="s">
        <v>108</v>
      </c>
      <c r="C48" s="76" t="str">
        <f>'WRA Worksheet'!C48</f>
        <v>n</v>
      </c>
      <c r="D48" s="82">
        <f>'WRA Worksheet'!D48</f>
        <v>-1</v>
      </c>
    </row>
    <row r="49" spans="1:4">
      <c r="A49" s="74">
        <v>8.0299999999999994</v>
      </c>
      <c r="B49" s="75" t="s">
        <v>110</v>
      </c>
      <c r="C49" s="76" t="str">
        <f>'WRA Worksheet'!C49</f>
        <v>?</v>
      </c>
      <c r="D49" s="82" t="str">
        <f>'WRA Worksheet'!D49</f>
        <v xml:space="preserve"> </v>
      </c>
    </row>
    <row r="50" spans="1:4">
      <c r="A50" s="74">
        <v>8.0399999999999991</v>
      </c>
      <c r="B50" s="75" t="s">
        <v>112</v>
      </c>
      <c r="C50" s="76" t="str">
        <f>'WRA Worksheet'!C50</f>
        <v>y</v>
      </c>
      <c r="D50" s="82">
        <f>'WRA Worksheet'!D50</f>
        <v>1</v>
      </c>
    </row>
    <row r="51" spans="1:4">
      <c r="A51" s="74">
        <v>8.0500000000000007</v>
      </c>
      <c r="B51" s="67" t="s">
        <v>115</v>
      </c>
      <c r="C51" s="76" t="str">
        <f>'WRA Worksheet'!C51</f>
        <v>?</v>
      </c>
      <c r="D51" s="82" t="str">
        <f>'WRA Worksheet'!D51</f>
        <v xml:space="preserve"> </v>
      </c>
    </row>
    <row r="52" spans="1:4">
      <c r="A52" s="31"/>
      <c r="B52" s="32" t="s">
        <v>117</v>
      </c>
      <c r="C52" s="145">
        <f>'WRA Worksheet'!D53</f>
        <v>6</v>
      </c>
      <c r="D52" s="145"/>
    </row>
    <row r="53" spans="1:4">
      <c r="A53" s="33"/>
      <c r="B53" s="34" t="s">
        <v>170</v>
      </c>
      <c r="C53" s="145" t="str" cm="1">
        <f t="array" ref="C53">IF(OR('WRA Worksheet'!C71:D71="yes", 'WRA Worksheet'!C72:D72="yes", 'WRA Worksheet'!C73:D73="yes"),"yes","no")</f>
        <v>yes</v>
      </c>
      <c r="D53" s="145"/>
    </row>
    <row r="54" spans="1:4">
      <c r="A54" s="33"/>
      <c r="B54" s="34" t="s">
        <v>171</v>
      </c>
      <c r="C54" s="145" t="str">
        <f>IF(C53="yes", 'WRA Worksheet'!C74, 'WRA Worksheet'!D54)</f>
        <v>Evaluate Further</v>
      </c>
      <c r="D54" s="145"/>
    </row>
    <row r="55" spans="1:4" ht="15.75" thickBot="1">
      <c r="A55" s="35"/>
      <c r="B55" s="36"/>
      <c r="C55" s="36"/>
      <c r="D55" s="37"/>
    </row>
    <row r="56" spans="1:4" ht="39.75" thickTop="1">
      <c r="A56" s="38" t="s">
        <v>172</v>
      </c>
      <c r="B56" s="39" t="s">
        <v>173</v>
      </c>
      <c r="C56" s="40" t="s">
        <v>121</v>
      </c>
      <c r="D56" s="37"/>
    </row>
    <row r="57" spans="1:4">
      <c r="A57" s="41" t="s">
        <v>122</v>
      </c>
      <c r="B57" s="42">
        <f>'WRA Worksheet'!C57</f>
        <v>10</v>
      </c>
      <c r="C57" s="43" t="str">
        <f>IF(B57&gt;=2,"yes","no")</f>
        <v>yes</v>
      </c>
      <c r="D57" s="37"/>
    </row>
    <row r="58" spans="1:4">
      <c r="A58" s="41" t="s">
        <v>123</v>
      </c>
      <c r="B58" s="42">
        <f>'WRA Worksheet'!C58</f>
        <v>12</v>
      </c>
      <c r="C58" s="43" t="str">
        <f>IF(B58&gt;=2,"yes","no")</f>
        <v>yes</v>
      </c>
      <c r="D58" s="37"/>
    </row>
    <row r="59" spans="1:4">
      <c r="A59" s="41" t="s">
        <v>124</v>
      </c>
      <c r="B59" s="42">
        <f>'WRA Worksheet'!C59</f>
        <v>18</v>
      </c>
      <c r="C59" s="43" t="str">
        <f>IF(B59&gt;=6,"yes","no")</f>
        <v>yes</v>
      </c>
      <c r="D59" s="37"/>
    </row>
    <row r="60" spans="1:4" ht="15.75" thickBot="1">
      <c r="A60" s="44" t="s">
        <v>125</v>
      </c>
      <c r="B60" s="45">
        <f>'WRA Worksheet'!C60</f>
        <v>40</v>
      </c>
      <c r="C60" s="46" t="str">
        <f>IF(C57="no","no",IF(C58="no","no",IF(C59="no","no","yes")))</f>
        <v>yes</v>
      </c>
      <c r="D60" s="37"/>
    </row>
    <row r="61" spans="1:4" ht="15.7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of current cultivation to reduce weediness.</v>
      </c>
      <c r="C2" s="51">
        <v>0</v>
      </c>
    </row>
    <row r="3" spans="1:3">
      <c r="A3" s="30">
        <v>1.02</v>
      </c>
      <c r="B3" s="50">
        <v>0</v>
      </c>
      <c r="C3" s="50">
        <v>0</v>
      </c>
    </row>
    <row r="4" spans="1:3">
      <c r="A4" s="30">
        <v>1.03</v>
      </c>
      <c r="B4" s="50">
        <v>0</v>
      </c>
      <c r="C4" s="50">
        <v>0</v>
      </c>
    </row>
    <row r="5" spans="1:3" ht="120">
      <c r="A5" s="30">
        <v>2.0099999999999998</v>
      </c>
      <c r="B5" s="52" t="str">
        <v>Not suitable for growth in Florida's climates (see attached climate suitability map). "USDA Zones: Roughly, it’s safe in Zones 10b and 11 year-round. In Zone 10a, it needs a very protected microclimate or backup protection on cold nights. In Zone 9 and colder, it must be grown in a pot so it can be moved or treated as an annual (which is not practical given its slow growth)(1)."</v>
      </c>
      <c r="C5" s="53" t="str">
        <v>See attached climate suitability map &amp; (1) https://www.viriar.com/blogs/palms-tree-encyklopedia/bactris-guineensi</v>
      </c>
    </row>
    <row r="6" spans="1:3">
      <c r="A6" s="30">
        <v>2.02</v>
      </c>
      <c r="B6" s="53" t="str">
        <v>See climate suitability map.</v>
      </c>
      <c r="C6" s="54">
        <v>0</v>
      </c>
    </row>
    <row r="7" spans="1:3">
      <c r="A7" s="30">
        <v>2.0299999999999998</v>
      </c>
      <c r="B7" s="54" t="str">
        <v>See climate suitability map.</v>
      </c>
      <c r="C7" s="53">
        <v>0</v>
      </c>
    </row>
    <row r="8" spans="1:3" ht="90">
      <c r="A8" s="30">
        <v>2.04</v>
      </c>
      <c r="B8" s="51" t="str">
        <v>"Bactris guineensis originates from areas that can be quite wet (rainforest or rainy season) but also endures dry spells (1)." Taxon originates from tropical rainforest lowlands and is adapted to periods of heavy rainfall interspersed with short dry periods (1)(2).</v>
      </c>
      <c r="C8" s="51" t="str">
        <v>(1) https://www.viriar.com/blogs/palms-tree-encyklopedia/bactris-guineensi (2) https://plantiary.com/plant/bactris-guineensis_31732.html</v>
      </c>
    </row>
    <row r="9" spans="1:3" ht="60">
      <c r="A9" s="30">
        <v>2.0499999999999998</v>
      </c>
      <c r="B9" s="51" t="str">
        <v>No evidence of repeated introductions outside of native range. "its geographic footprint is primarily the Caribbean rim and Central America, with minor introductions elsewhere by palm enthusiasts (1)."</v>
      </c>
      <c r="C9" s="53" t="str">
        <v>(1) https://www.viriar.com/blogs/palms-tree-encyklopedia/bactris-guineensi</v>
      </c>
    </row>
    <row r="10" spans="1:3">
      <c r="A10" s="30">
        <v>3.01</v>
      </c>
      <c r="B10" s="51" t="str">
        <v>No evidence.</v>
      </c>
      <c r="C10" s="53">
        <v>0</v>
      </c>
    </row>
    <row r="11" spans="1:3" ht="165">
      <c r="A11" s="30">
        <v>3.02</v>
      </c>
      <c r="B11" s="50" t="str">
        <v>Taxon commonly grows in disturbed areas such as fields, forest edges, and sites that have been burned. (1)(2)(3)</v>
      </c>
      <c r="C11" s="53" t="str">
        <v>(1) https://www.viriar.com/blogs/palms-tree-encyklopedia/bactris-guineensi (2) 
  Brieva-Oviedo, E., Maia, A. C. D., &amp; Núñez-Avellaneda, L. A. (2020). Pollination of Bactris guineensis (Arecaceae), a potential economically exploitable fruit palm from the Colombian Caribbean. Flora. Morphologie, Geobotanik, Oekophysiologie, 269, Article 151628. https://doi.org/10.1016/j.flora.2020.151628
 (3) https://www.palmpedia.net/wiki/Bactris_guineensis</v>
      </c>
    </row>
    <row r="12" spans="1:3">
      <c r="A12" s="30">
        <v>3.03</v>
      </c>
      <c r="B12" s="50" t="str">
        <v>No evidence.</v>
      </c>
      <c r="C12" s="53">
        <v>0</v>
      </c>
    </row>
    <row r="13" spans="1:3" ht="30">
      <c r="A13" s="30">
        <v>3.04</v>
      </c>
      <c r="B13" s="51" t="str">
        <v>No evidence of taxon altering natural functions of an ecosystem.</v>
      </c>
      <c r="C13" s="53">
        <v>0</v>
      </c>
    </row>
    <row r="14" spans="1:3" ht="30">
      <c r="A14" s="30">
        <v>3.05</v>
      </c>
      <c r="B14" s="51" t="str">
        <v>Bactris gasipaes is considered a low-risk weed. Not much information available about the weediness of other Bactris species. Answered UNKNOWN</v>
      </c>
      <c r="C14" s="53" t="str">
        <v>(1) https://plantpono.org/pono-plants/bactris-gasipaes/</v>
      </c>
    </row>
    <row r="15" spans="1:3" ht="114.75">
      <c r="A15" s="30">
        <v>4.01</v>
      </c>
      <c r="B15" s="50" t="str">
        <v>Leaves and trunk covered with yellowish sharp spines. (1)(2)(3)</v>
      </c>
      <c r="C15" s="55" t="str">
        <v>(1) https://www.viriar.com/blogs/palms-tree-encyklopedia/bactris-guineensi (2) 
  Brieva-Oviedo, E., Maia, A. C. D., &amp; Núñez-Avellaneda, L. A. (2020). Pollination of Bactris guineensis (Arecaceae), a potential economically exploitable fruit palm from the Colombian Caribbean. Flora. Morphologie, Geobotanik, Oekophysiologie, 269, Article 151628. https://doi.org/10.1016/j.flora.2020.151628
 (3) https://www.palmpedia.net/wiki/Bactris_guineensis</v>
      </c>
    </row>
    <row r="16" spans="1:3">
      <c r="A16" s="30">
        <v>4.0199999999999996</v>
      </c>
      <c r="B16" s="51" t="str">
        <v>No evidence.</v>
      </c>
      <c r="C16" s="51">
        <v>0</v>
      </c>
    </row>
    <row r="17" spans="1:3">
      <c r="A17" s="30">
        <v>4.03</v>
      </c>
      <c r="B17" s="51" t="str">
        <v>No evidence.</v>
      </c>
      <c r="C17" s="51">
        <v>0</v>
      </c>
    </row>
    <row r="18" spans="1:3" ht="210">
      <c r="A18" s="30">
        <v>4.04</v>
      </c>
      <c r="B18" s="51" t="str">
        <v>No evidence of toxicity or unpalatibility. Taxon produces edible fruit and is commonly used to make jams, juice, wine, and rum. (1)(2)(3)(4)</v>
      </c>
      <c r="C18" s="51" t="str">
        <v xml:space="preserve">(1) https://sfyl.ifas.ufl.edu/media/sfylifasufledu/miami-dade/documents/landscapes-amp-gardening/EdiblePalms.pdf (2) https://www.viriar.com/blogs/palms-tree-encyklopedia/bactris-guineensi (3) https://www.palmpedia.net/wiki/Bactris_guineensis (4) 
  Cortés-Herrera, C., Pérez, A. M., &amp; Vaillant, F. (2024). Bactris guineensis, an underutilized Costa Rican palm fruit: juice processing and its nutritional profile. Agronomía Mesoamericana, 35(1), 60173. https://doi.org/10.15517/am.2024.60173
</v>
      </c>
    </row>
    <row r="19" spans="1:3" ht="210">
      <c r="A19" s="30">
        <v>4.05</v>
      </c>
      <c r="B19" s="51" t="str">
        <v>No evidence of toxicity or unpalatibility. Taxon produces edible fruit and is commonly used to make jams, juice, wine, and rum. (1)(2)(3)(4)</v>
      </c>
      <c r="C19" s="51" t="str">
        <v xml:space="preserve">(1) https://sfyl.ifas.ufl.edu/media/sfylifasufledu/miami-dade/documents/landscapes-amp-gardening/EdiblePalms.pdf (2) https://www.viriar.com/blogs/palms-tree-encyklopedia/bactris-guineensi (3) https://www.palmpedia.net/wiki/Bactris_guineensis (4) 
  Cortés-Herrera, C., Pérez, A. M., &amp; Vaillant, F. (2024). Bactris guineensis, an underutilized Costa Rican palm fruit: juice processing and its nutritional profile. Agronomía Mesoamericana, 35(1), 60173. https://doi.org/10.15517/am.2024.60173
</v>
      </c>
    </row>
    <row r="20" spans="1:3" ht="75">
      <c r="A20" s="30">
        <v>4.0599999999999996</v>
      </c>
      <c r="B20" s="51" t="str">
        <v xml:space="preserve">Taxon is not an important host to significant crop pests and pathogens. (1). "Bactris guineensis, being a hardy tropical palm, does not have an inordinate number of pests or diseases, but a few common issues can arise in cultivation (1)." </v>
      </c>
      <c r="C20" s="51" t="str">
        <v>(1) https://www.viriar.com/blogs/palms-tree-encyklopedia/bactris-guineensi</v>
      </c>
    </row>
    <row r="21" spans="1:3" ht="210">
      <c r="A21" s="30">
        <v>4.07</v>
      </c>
      <c r="B21" s="51" t="str">
        <v>No evidence of causing allergic reactions or being toxic. Taxon produces edible fruit and is commonly used to make jams, juice, wine, and rum. (1)(2)(3)(4)</v>
      </c>
      <c r="C21" s="51" t="str">
        <v xml:space="preserve">(1) https://sfyl.ifas.ufl.edu/media/sfylifasufledu/miami-dade/documents/landscapes-amp-gardening/EdiblePalms.pdf (2) https://www.viriar.com/blogs/palms-tree-encyklopedia/bactris-guineensi (3) https://www.palmpedia.net/wiki/Bactris_guineensis (4) 
  Cortés-Herrera, C., Pérez, A. M., &amp; Vaillant, F. (2024). Bactris guineensis, an underutilized Costa Rican palm fruit: juice processing and its nutritional profile. Agronomía Mesoamericana, 35(1), 60173. https://doi.org/10.15517/am.2024.60173
</v>
      </c>
    </row>
    <row r="22" spans="1:3" ht="75">
      <c r="A22" s="30">
        <v>4.08</v>
      </c>
      <c r="B22" s="51" t="str">
        <v>No evidence that taxon increases risk of fire in the environment. "B. guineensis’ adaptation to fire or disturbance isn’t well documented, but we can infer: its underground rhizomes might survive low-intensity grass fires and resprout (1)."</v>
      </c>
      <c r="C22" s="53" t="str">
        <v>(1) https://www.viriar.com/blogs/palms-tree-encyklopedia/bactris-guineensi</v>
      </c>
    </row>
    <row r="23" spans="1:3" ht="75">
      <c r="A23" s="30">
        <v>4.09</v>
      </c>
      <c r="B23" s="51" t="str">
        <v>"It thrives in well-drained, moist soils and can tolerate some shade, although it does well in partially open areas as well (1)." "As an understory palm when young, B. guineensis is quite shade-tolerant in its early stages (2)."</v>
      </c>
      <c r="C23" s="51" t="str">
        <v>(1) https://plantiary.com/plant/bactris-guineensis_31732.html (2) https://www.viriar.com/blogs/palms-tree-encyklopedia/bactris-guineensi</v>
      </c>
    </row>
    <row r="24" spans="1:3" ht="120">
      <c r="A24" s="30">
        <v>4.0999999999999996</v>
      </c>
      <c r="B24" s="51" t="str">
        <v>"B. guineensis is found in a variety of soil types in the wild – from rich alluvial soils to poorer sandy soils near coasts. The key is that it requires decent drainage (it doesn’t grow in swampy ground) and does best with some organic content (1)." "It thrives in well-drained, moist soils and can tolerate some shade, although it does well in partially open areas as well (2)."</v>
      </c>
      <c r="C24" s="51" t="str">
        <v>(1) https://www.viriar.com/blogs/palms-tree-encyklopedia/bactris-guineensi (2) https://plantiary.com/plant/bactris-guineensis_31732.html</v>
      </c>
    </row>
    <row r="25" spans="1:3" ht="60">
      <c r="A25" s="30">
        <v>4.1100000000000003</v>
      </c>
      <c r="B25" s="51" t="str">
        <v>Taxon does not grow as a vine that climbs on or smothers surrounding vegetation. (1)(2)</v>
      </c>
      <c r="C25" s="51" t="str">
        <v>(1) https://www.viriar.com/blogs/palms-tree-encyklopedia/bactris-guineensi (2) https://www.nparks.gov.sg/florafaunaweb/flora/2/5/2596</v>
      </c>
    </row>
    <row r="26" spans="1:3" ht="60">
      <c r="A26" s="30">
        <v>4.12</v>
      </c>
      <c r="B26" s="51" t="str">
        <v>Taxon grows in dense clumps and clusters spread through underground rhizomes. (1)(2)</v>
      </c>
      <c r="C26" s="51" t="str">
        <v>(1) https://www.viriar.com/blogs/palms-tree-encyklopedia/bactris-guineensi (2) https://www.nparks.gov.sg/florafaunaweb/flora/2/5/2596</v>
      </c>
    </row>
    <row r="27" spans="1:3" ht="60">
      <c r="A27" s="30">
        <v>5.01</v>
      </c>
      <c r="B27" s="51" t="str">
        <v>Taxon is a terrestrial plant. (1)(2)(3)</v>
      </c>
      <c r="C27" s="51" t="str">
        <v>(1) https://www.viriar.com/blogs/palms-tree-encyklopedia/bactris-guineensi (2) https://plantiary.com/plant/bactris-guineensis_31732.html (3) https://colplanta.org/taxon/urn:lsid:ipni.org:names:28460-2/general-information</v>
      </c>
    </row>
    <row r="28" spans="1:3" ht="30">
      <c r="A28" s="30">
        <v>5.0199999999999996</v>
      </c>
      <c r="B28" s="51" t="str">
        <v>Not of the Poaceae family. Taxon is in the family Arecaceae (palm family).</v>
      </c>
      <c r="C28" s="51" t="str">
        <v>(1) https://www.viriar.com/blogs/palms-tree-encyklopedia/bactris-guineensi</v>
      </c>
    </row>
    <row r="29" spans="1:3" ht="120">
      <c r="A29" s="30">
        <v>5.03</v>
      </c>
      <c r="B29" s="51" t="str">
        <v>Taxon is a woody palm (1)(2).  "It may also form mycorrhizal associations (as many palms do) to help in nutrient-poor conditions (1)."</v>
      </c>
      <c r="C29" s="51" t="str">
        <v>(1) https://www.viriar.com/blogs/palms-tree-encyklopedia/bactris-guineensi (2) Brieva-Oviedo, E., Maia, A. C. D., &amp; Núñez-Avellaneda, L. A. (2020). Pollination of Bactris guineensis (Arecaceae), a potential economically exploitable fruit palm from the Colombian Caribbean. Flora. Morphologie, Geobotanik, Oekophysiologie, 269, Article 151628. https://doi.org/10.1016/j.flora.2020.151628</v>
      </c>
    </row>
    <row r="30" spans="1:3" ht="75">
      <c r="A30" s="30">
        <v>5.04</v>
      </c>
      <c r="B30" s="51" t="str">
        <v xml:space="preserve"> Rhizomes present, but no evidence of other underground storage tissues (1)(2)</v>
      </c>
      <c r="C30" s="51" t="str">
        <v>(1) https://www.viriar.com/blogs/palms-tree-encyklopedia/bactris-guineensi (2) https://plantiary.com/plant/bactris-guineensis_31732.html (3) https://www.palmpedia.net/wiki/Bactris_guineensis</v>
      </c>
    </row>
    <row r="31" spans="1:3" ht="135">
      <c r="A31" s="30">
        <v>6.01</v>
      </c>
      <c r="B31" s="50" t="str">
        <v>No evidence of reproductive failure due to disease. However, "natural populations of B. guineensis are being drastically reduced by the expansion of agricultural frontiers in Colombia (1)." "National Red List of Colombia (2021): NT (2)" "Predicted extinction risk: not threatened. Confidence: confident (2)"</v>
      </c>
      <c r="C31" s="51" t="str">
        <v>(1) 
  Brieva-Oviedo, E., Maia, A. C. D., &amp; Núñez-Avellaneda, L. A. (2020). Pollination of Bactris guineensis (Arecaceae), a potential economically exploitable fruit palm from the Colombian Caribbean. Flora. Morphologie, Geobotanik, Oekophysiologie, 269, Article 151628. https://doi.org/10.1016/j.flora.2020.151628
(2) https://colplanta.org/taxon/urn:lsid:ipni.org:names:28460-2/general-information</v>
      </c>
    </row>
    <row r="32" spans="1:3" ht="90">
      <c r="A32" s="30">
        <v>6.02</v>
      </c>
      <c r="B32" s="51" t="str">
        <v>Taxon reproduces via seeds and suckering (1)(2). "The fruit is a single-seeded drupe that reaches maturity two months after flowering (1)." "Also notable is that clumping palms like Bactris can reproduce vegetatively (via suckers) in addition to sexually (via seeds)(2)." Seeds sold online (3)</v>
      </c>
      <c r="C32" s="51" t="str">
        <v>(1) https://hal.science/hal-05078038/document (2) https://www.viriar.com/blogs/palms-tree-encyklopedia/bactris-guineensi (3) https://www.rarepalmseeds.com/bactris-guineensis</v>
      </c>
    </row>
    <row r="33" spans="1:3">
      <c r="A33" s="30">
        <v>6.03</v>
      </c>
      <c r="B33" s="51" t="str">
        <v>No evidence.</v>
      </c>
      <c r="C33" s="51">
        <v>0</v>
      </c>
    </row>
    <row r="34" spans="1:3" ht="150">
      <c r="A34" s="30">
        <v>6.04</v>
      </c>
      <c r="B34" s="51" t="str">
        <v>Taxon is monoecious and is noted to produce seed via self-pollination. (1) (2)</v>
      </c>
      <c r="C34" s="51" t="str">
        <v>(1) 
  Brieva-Oviedo, E., Maia, A. C. D., &amp; Núñez-Avellaneda, L. A. (2020). Pollination of Bactris guineensis (Arecaceae), a potential economically exploitable fruit palm from the Colombian Caribbean. Flora. Morphologie, Geobotanik, Oekophysiologie, 269, Article 151628. https://doi.org/10.1016/j.flora.2020.151628
(2) https://www.viriar.com/blogs/palms-tree-encyklopedia/bactris-guineensi</v>
      </c>
    </row>
    <row r="35" spans="1:3" ht="150">
      <c r="A35" s="30">
        <v>6.05</v>
      </c>
      <c r="B35" s="51" t="str">
        <v>Taxon is insect (weeviles and beetles) pollinated. (1)(2)</v>
      </c>
      <c r="C35" s="51" t="str">
        <v>(1) 
  Brieva-Oviedo, E., Maia, A. C. D., &amp; Núñez-Avellaneda, L. A. (2020). Pollination of Bactris guineensis (Arecaceae), a potential economically exploitable fruit palm from the Colombian Caribbean. Flora. Morphologie, Geobotanik, Oekophysiologie, 269, Article 151628. https://doi.org/10.1016/j.flora.2020.151628
(2) https://www.viriar.com/blogs/palms-tree-encyklopedia/bactris-guineensi</v>
      </c>
    </row>
    <row r="36" spans="1:3" ht="60">
      <c r="A36" s="30">
        <v>6.06</v>
      </c>
      <c r="B36" s="51" t="str">
        <v>Taxon reproduces via seeds and suckering (1)(2)(3). "Also notable is that clumping palms like Bactris can reproduce vegetatively (via suckers) in addition to sexually (via seeds)(1)."</v>
      </c>
      <c r="C36" s="51" t="str">
        <v>(1) https://www.viriar.com/blogs/palms-tree-encyklopedia/bactris-guineensi (2) https://www.palmpedia.net/wiki/Bactris_guineensis (3) https://colplanta.org/taxon/urn:lsid:ipni.org:names:28460-2/general-information</v>
      </c>
    </row>
    <row r="37" spans="1:3" ht="30">
      <c r="A37" s="30">
        <v>6.07</v>
      </c>
      <c r="B37" s="51" t="str">
        <v>Taxon is slow growing. "It might be several years (perhaps 3–6 years) of growing to reach maturity." (1)</v>
      </c>
      <c r="C37" s="51" t="str">
        <v>(1) https://www.viriar.com/blogs/palms-tree-encyklopedia/bactris-guineensi</v>
      </c>
    </row>
    <row r="38" spans="1:3" ht="60">
      <c r="A38" s="30">
        <v>7.01</v>
      </c>
      <c r="B38" s="51" t="str">
        <v>Seeds may be carried from parent plant and discarded during fruit processing. "Humans also play a role by collecting fruits and discarding seeds in new locations (including in cultivation)." (1)</v>
      </c>
      <c r="C38" s="51" t="str">
        <v>(1) https://www.viriar.com/blogs/palms-tree-encyklopedia/bactris-guineensi</v>
      </c>
    </row>
    <row r="39" spans="1:3" ht="210">
      <c r="A39" s="30">
        <v>7.02</v>
      </c>
      <c r="B39" s="51" t="str">
        <v>Taxon is commonly cultivated for its fruit. (1)(2)(3)(4)</v>
      </c>
      <c r="C39" s="51" t="str">
        <v xml:space="preserve">(1) https://sfyl.ifas.ufl.edu/media/sfylifasufledu/miami-dade/documents/landscapes-amp-gardening/EdiblePalms.pdf (2) https://www.viriar.com/blogs/palms-tree-encyklopedia/bactris-guineensi (3) https://www.palmpedia.net/wiki/Bactris_guineensis (4) 
  Cortés-Herrera, C., Pérez, A. M., &amp; Vaillant, F. (2024). Bactris guineensis, an underutilized Costa Rican palm fruit: juice processing and its nutritional profile. Agronomía Mesoamericana, 35(1), 60173. https://doi.org/10.15517/am.2024.60173
</v>
      </c>
    </row>
    <row r="40" spans="1:3" ht="210">
      <c r="A40" s="30">
        <v>7.03</v>
      </c>
      <c r="B40" s="50" t="str">
        <v>Taxon is commonly cultivated for its fruit. (1)(2)(3)(4). As large fruits, they are unlikely to be dispersed as a contaminant.</v>
      </c>
      <c r="C40" s="51" t="str">
        <v xml:space="preserve">(1) https://sfyl.ifas.ufl.edu/media/sfylifasufledu/miami-dade/documents/landscapes-amp-gardening/EdiblePalms.pdf (2) https://www.viriar.com/blogs/palms-tree-encyklopedia/bactris-guineensi (3) https://www.palmpedia.net/wiki/Bactris_guineensis (4) 
  Cortés-Herrera, C., Pérez, A. M., &amp; Vaillant, F. (2024). Bactris guineensis, an underutilized Costa Rican palm fruit: juice processing and its nutritional profile. Agronomía Mesoamericana, 35(1), 60173. https://doi.org/10.15517/am.2024.60173
</v>
      </c>
    </row>
    <row r="41" spans="1:3">
      <c r="A41" s="30">
        <v>7.04</v>
      </c>
      <c r="B41" s="51" t="str">
        <v>No evidence.</v>
      </c>
      <c r="C41" s="51">
        <v>0</v>
      </c>
    </row>
    <row r="42" spans="1:3">
      <c r="A42" s="30">
        <v>7.05</v>
      </c>
      <c r="B42" s="51" t="str">
        <v>No studies examining bouyancy found.</v>
      </c>
      <c r="C42" s="51">
        <v>0</v>
      </c>
    </row>
    <row r="43" spans="1:3" ht="60">
      <c r="A43" s="30">
        <v>7.06</v>
      </c>
      <c r="B43" s="51" t="str">
        <v>"Birds may swallow the small fruits and later regurgitate or excrete the seeds elsewhere. Rodents might hoard fruits and inadvertently plant seeds (1)." The fruit is a part of local birds and mammals diet (2).</v>
      </c>
      <c r="C43" s="51" t="str">
        <v>(1) https://www.viriar.com/blogs/palms-tree-encyklopedia/bactris-guineensi (2) https://plantiary.com/plant/bactris-guineensis_31732.html</v>
      </c>
    </row>
    <row r="44" spans="1:3">
      <c r="A44" s="30">
        <v>7.07</v>
      </c>
      <c r="B44" s="51" t="str">
        <v>No evidence.</v>
      </c>
      <c r="C44" s="51">
        <v>0</v>
      </c>
    </row>
    <row r="45" spans="1:3" ht="60">
      <c r="A45" s="30">
        <v>7.08</v>
      </c>
      <c r="B45" s="50" t="str">
        <v>"Birds may swallow the small fruits and later regurgitate or excrete the seeds elsewhere. Rodents might hoard fruits and inadvertently plant seeds (1)." The fruit is a part of local birds and mammals diet (2).</v>
      </c>
      <c r="C45" s="51" t="str">
        <v>(1) https://www.viriar.com/blogs/palms-tree-encyklopedia/bactris-guineensi (2) https://plantiary.com/plant/bactris-guineensis_31732.html</v>
      </c>
    </row>
    <row r="46" spans="1:3" ht="51">
      <c r="A46" s="30">
        <v>8.01</v>
      </c>
      <c r="B46" s="50" t="str">
        <v>No specific quantitative data, only limited qualitative information: "The palm’s reproduction thus relies on producing many fruits to ensure some find favorable spots to germinate (1)."</v>
      </c>
      <c r="C46" s="51" t="str">
        <v>(1) https://www.viriar.com/blogs/palms-tree-encyklopedia/bactris-guineensi</v>
      </c>
    </row>
    <row r="47" spans="1:3">
      <c r="A47" s="30">
        <v>8.02</v>
      </c>
      <c r="B47" s="51" t="str">
        <v>Lack of documented dormancy data.</v>
      </c>
      <c r="C47" s="51">
        <v>0</v>
      </c>
    </row>
    <row r="48" spans="1:3" ht="30">
      <c r="A48" s="30">
        <v>8.0299999999999994</v>
      </c>
      <c r="B48" s="51" t="str">
        <v>Unknown. No documented evidence of herbicide efficacy.</v>
      </c>
      <c r="C48" s="51">
        <v>0</v>
      </c>
    </row>
    <row r="49" spans="1:3" ht="45">
      <c r="A49" s="30">
        <v>8.0399999999999991</v>
      </c>
      <c r="B49" s="51" t="str">
        <v>Taxon is commonly found in disturbed areas and spreads vegetatively, thus can benefit from disturbance and cuttings. (1)(2)</v>
      </c>
      <c r="C49" s="51" t="str">
        <v>(1) https://www.viriar.com/blogs/palms-tree-encyklopedia/bactris-guineensi (2) https://www.palmpedia.net/wiki/Bactris_guineensis</v>
      </c>
    </row>
    <row r="50" spans="1:3">
      <c r="A50" s="30">
        <v>8.0500000000000007</v>
      </c>
      <c r="B50" s="50" t="str">
        <v>Unkown. No evidence.</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6BE15D85-246E-4E4A-8E7C-2339853910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2025-07-10T14:33:30Z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