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defaultThemeVersion="166925"/>
  <mc:AlternateContent xmlns:mc="http://schemas.openxmlformats.org/markup-compatibility/2006">
    <mc:Choice Requires="x15">
      <x15ac:absPath xmlns:x15ac="http://schemas.microsoft.com/office/spreadsheetml/2010/11/ac" url="/Users/CD/Desktop/"/>
    </mc:Choice>
  </mc:AlternateContent>
  <xr:revisionPtr revIDLastSave="0" documentId="8_{E59CE684-7333-4F65-803F-32B038411F9E}" xr6:coauthVersionLast="47" xr6:coauthVersionMax="47" xr10:uidLastSave="{00000000-0000-0000-0000-000000000000}"/>
  <bookViews>
    <workbookView xWindow="4560" yWindow="3100" windowWidth="32900" windowHeight="24120"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c r="A1" i="3"/>
  <c r="D71" i="1"/>
  <c r="D73" i="1"/>
  <c r="C74" i="1" s="1"/>
  <c r="D72" i="1"/>
  <c r="C53" i="3" a="1"/>
  <c r="C53" i="3" s="1"/>
  <c r="I26" i="2"/>
  <c r="I27" i="2"/>
  <c r="D3" i="1"/>
  <c r="D3" i="3"/>
  <c r="D5" i="1"/>
  <c r="D5" i="3"/>
  <c r="D8" i="1"/>
  <c r="D8" i="3"/>
  <c r="D9" i="1"/>
  <c r="D9" i="3"/>
  <c r="D11" i="1"/>
  <c r="D11" i="3"/>
  <c r="D12" i="1"/>
  <c r="D12" i="3"/>
  <c r="D13" i="1"/>
  <c r="D13" i="3"/>
  <c r="D14" i="1"/>
  <c r="D14" i="3" s="1"/>
  <c r="D15" i="1"/>
  <c r="D15" i="3"/>
  <c r="D16" i="1"/>
  <c r="D16" i="3"/>
  <c r="D17" i="1"/>
  <c r="D17" i="3"/>
  <c r="D18" i="1"/>
  <c r="D18" i="3" s="1"/>
  <c r="D19" i="1"/>
  <c r="D19" i="3" s="1"/>
  <c r="D20" i="1"/>
  <c r="D20" i="3" s="1"/>
  <c r="D21" i="1"/>
  <c r="D21" i="3" s="1"/>
  <c r="D22" i="1"/>
  <c r="D22" i="3" s="1"/>
  <c r="D23" i="1"/>
  <c r="D23" i="3" s="1"/>
  <c r="D24" i="1"/>
  <c r="D24" i="3"/>
  <c r="D25" i="1"/>
  <c r="D25" i="3" s="1"/>
  <c r="D26" i="1"/>
  <c r="D26" i="3" s="1"/>
  <c r="D27" i="1"/>
  <c r="D27" i="3"/>
  <c r="D28" i="1"/>
  <c r="D28" i="3"/>
  <c r="D29" i="1"/>
  <c r="D29" i="3"/>
  <c r="D30" i="1"/>
  <c r="D30" i="3"/>
  <c r="D31" i="1"/>
  <c r="D31" i="3"/>
  <c r="D32" i="1"/>
  <c r="D32" i="3" s="1"/>
  <c r="D33" i="1"/>
  <c r="D33" i="3"/>
  <c r="D34" i="1"/>
  <c r="D34" i="3" s="1"/>
  <c r="D35" i="1"/>
  <c r="D35" i="3" s="1"/>
  <c r="D36" i="1"/>
  <c r="D36" i="3"/>
  <c r="D37" i="1"/>
  <c r="D37" i="3"/>
  <c r="D38" i="1"/>
  <c r="D38" i="3"/>
  <c r="D39" i="1"/>
  <c r="D39" i="3"/>
  <c r="D40" i="1"/>
  <c r="D40" i="3"/>
  <c r="D41" i="1"/>
  <c r="D41" i="3" s="1"/>
  <c r="D42" i="1"/>
  <c r="D42" i="3" s="1"/>
  <c r="D43" i="1"/>
  <c r="D43" i="3" s="1"/>
  <c r="D44" i="1"/>
  <c r="D44" i="3" s="1"/>
  <c r="D45" i="1"/>
  <c r="D45" i="3" s="1"/>
  <c r="D46" i="1"/>
  <c r="D46" i="3" s="1"/>
  <c r="D47" i="1"/>
  <c r="D47" i="3" s="1"/>
  <c r="D48" i="1"/>
  <c r="D48" i="3" s="1"/>
  <c r="D49" i="1"/>
  <c r="D49" i="3" s="1"/>
  <c r="D50" i="1"/>
  <c r="D50" i="3" s="1"/>
  <c r="D51" i="1"/>
  <c r="D51" i="3"/>
  <c r="C57" i="1"/>
  <c r="D57" i="1" s="1"/>
  <c r="C58" i="1"/>
  <c r="D58" i="1" s="1"/>
  <c r="C59" i="1"/>
  <c r="D59" i="1"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B59" i="3" l="1"/>
  <c r="C59" i="3" s="1"/>
  <c r="B58" i="3"/>
  <c r="C58" i="3" s="1"/>
  <c r="D60" i="1"/>
  <c r="B57" i="3"/>
  <c r="C57" i="3" s="1"/>
  <c r="D53" i="1"/>
  <c r="C60" i="1"/>
  <c r="B60" i="3" s="1"/>
  <c r="C60" i="3"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<sst xmlns="http://schemas.openxmlformats.org/spreadsheetml/2006/main" count="338" uniqueCount="175">
  <si>
    <t>Species:</t>
  </si>
  <si>
    <t>Marsilea minuta aka pepperwort, Marsilea crenata, Marsilea diffusa, Marsilea erosa, Marsilea perrieriana, Marsilea Senegalese's.</t>
  </si>
  <si>
    <t>Assessment date: 11 June 2025 Prepared by Cameron Deelstra</t>
  </si>
  <si>
    <t>Number</t>
  </si>
  <si>
    <t>Question</t>
  </si>
  <si>
    <t>Answer</t>
  </si>
  <si>
    <t>Score</t>
  </si>
  <si>
    <t>Uncertainty</t>
  </si>
  <si>
    <t>Evidence</t>
  </si>
  <si>
    <t>Reference</t>
  </si>
  <si>
    <t>Is the species highly domesticated?</t>
  </si>
  <si>
    <t>n</t>
  </si>
  <si>
    <t>Has the species become naturalised where grown?</t>
  </si>
  <si>
    <t>Does the species have weedy races?</t>
  </si>
  <si>
    <t>Species suited to Florida's USDA climate zones (1-low; 2-intermediate; 3-high)
       North Zone: suited to Zones 8, 9
       Central Zone: suited to Zones 9, 10
       South Zone: suited to Zone 10</t>
  </si>
  <si>
    <t xml:space="preserve">High suitability for south and central zones and moderate suitability in northern zone. </t>
  </si>
  <si>
    <t>See climate suitability map.</t>
  </si>
  <si>
    <t>Quality of climate match data (1-low; 2-intermediate; 3-high)</t>
  </si>
  <si>
    <t>High confidence in suitability.</t>
  </si>
  <si>
    <t>Broad climate suitability (environmental versatility)</t>
  </si>
  <si>
    <t>y</t>
  </si>
  <si>
    <t xml:space="preserve">Able to persist through periods of drought and lower temperatures (1). See climate suitability map. </t>
  </si>
  <si>
    <t xml:space="preserve">  (1) Jacono, Colette C, and David M Johnson. “Water-Clover Ferns, Marsilea, in the Southeastern United States.” Castanea 71.1 (2006): 1–14. Web.</t>
  </si>
  <si>
    <t>Native or naturalized in habitats with periodic inundation
       North Zone: mean annual precipitation 50-70 inches
       Central Zone: mean annual precipitation 40-60 inches
       South Zone: mean annual precipitation 40-60 inches</t>
  </si>
  <si>
    <t>Possesses characteristics suited for periods of heavy precipitation and inundation. Found in ditches, canals, ponds, and paddies. (1)(2).</t>
  </si>
  <si>
    <t xml:space="preserve">  (1) Jacono, Colette C, and David M Johnson. “Water-Clover Ferns, Marsilea, in the Southeastern United States.” Castanea 71.1 (2006): 1–14. Web.  (2) Banerjee, Senjuti et al. “Ethnobotany, Phytochemistry, and Pharmacological Activity of Marsilea Minuta.” Aquatic Medicinal Plants. 1st ed. vol. 1. United Kingdom: CRC Press, 2024. 37–48. Web.</t>
  </si>
  <si>
    <t>Does the species have a history of repeated introductions outside its natural range?</t>
  </si>
  <si>
    <t>Occurances of M. minuta found in several sites across Florida, Georgia, and Tennessee (1). Also found in Brazil and Caribbean (2).</t>
  </si>
  <si>
    <t xml:space="preserve">  (1) Jacono, Colette C, and David M Johnson. “Water-Clover Ferns, Marsilea, in the Southeastern United States.” Castanea 71.1 (2006): 1–14. Web. (2) https://powo.science.kew.org/taxon/urn:lsid:ipni.org:names:17145140-1</t>
  </si>
  <si>
    <t>Naturalized beyond native range</t>
  </si>
  <si>
    <t>Species is native to Africa and parts of Asia. Found to be widespread and naturalized in the southeast United States (1). Noted to occur in Brazil and Trinidad and Tobago (2)</t>
  </si>
  <si>
    <t>Garden/amenity/disturbance weed</t>
  </si>
  <si>
    <t>Grows readily in roadside ditches and other disturbed sites (1). Likely introduced to Florida through the aquarium trade (2).</t>
  </si>
  <si>
    <t xml:space="preserve">  (1) Jacono, Colette C, and David M Johnson. “Water-Clover Ferns, Marsilea, in the Southeastern United States.” Castanea 71.1 (2006): 1–14. Web. (2) https://plant-directory.ifas.ufl.edu/plant-directory/marsilea-species/</t>
  </si>
  <si>
    <t>Weed of agriculture</t>
  </si>
  <si>
    <t>Grows extensively in rice paddies creating competition for resources (1)(2).</t>
  </si>
  <si>
    <t xml:space="preserve">  (1) Jacono, Colette C, and David M Johnson. “Water-Clover Ferns, Marsilea, in the Southeastern United States.” Castanea 71.1 (2006): 1–14. Web. (2) http://books.irri.org/9712200205_content.pdf</t>
  </si>
  <si>
    <t>Environmental weed</t>
  </si>
  <si>
    <t>?</t>
  </si>
  <si>
    <t>Taxon is listed as a weed of agriculture but no studies focus on its impacts of natural environment (1).</t>
  </si>
  <si>
    <t>http://books.irri.org/9712200205_content.pdf</t>
  </si>
  <si>
    <t>Congeneric weed</t>
  </si>
  <si>
    <t>Several species in the family Marsileaceae are found to be weedy and agricultural pests (1)(2).</t>
  </si>
  <si>
    <t>Produces spines, thorns or burrs</t>
  </si>
  <si>
    <t>No evidence</t>
  </si>
  <si>
    <t>Allelopathic</t>
  </si>
  <si>
    <t xml:space="preserve">Studies show that paddy cultivars of rice and other aquatic crops are negatively affected by the presence of M. minuta extracts and residues but did not focus on impacts of M. minuta in the field (1)(2). </t>
  </si>
  <si>
    <t xml:space="preserve">(1) Tanveer, A et al. “Assessing the Potential of the Water Soluble Allelopaths of Marsilea Minuta in Rice and Wheat.” Planta daninha 33.2 (2015): 231–239. Web. (2) Rajangam, M. (1988). Allelopathic influences of Marsilea minuta on the germination and growth of paddy cultivars. Indian Botanical Society. </t>
  </si>
  <si>
    <t>Parasitic</t>
  </si>
  <si>
    <t>Unpalatable to grazing animals</t>
  </si>
  <si>
    <t>No evidence of harmful effects.</t>
  </si>
  <si>
    <t>Toxic to animals</t>
  </si>
  <si>
    <t>M. minuta by itself is found to be non-toxic (1) but is noted to be an exceptional bioaccumulator of toxic metals (2).</t>
  </si>
  <si>
    <t>(1) Bala, N. (2025). Toxicity Profiling of Marsilea Minuta Conjugated ZnO Nanoparticles for Therapeutics as Nanomedicine. Journal of Scientific Research, 17(1), 235–245. https://doi.org/10.3329/jsr.v17i1.71341         (2) 
  MK, A. (2015). Biosorption Property of Cadmium (II) in Marsilea minuta L. with Polyamine Interaction. Molecular Plant Breeding (English), 6(14). https://doi.org/10.5376/mpb.2015.06.0014</t>
  </si>
  <si>
    <t>Host for recognised pests and pathogens</t>
  </si>
  <si>
    <t>Causes allergies or is otherwise toxic to humans</t>
  </si>
  <si>
    <t>Creates a fire hazard in natural ecosystems</t>
  </si>
  <si>
    <t xml:space="preserve">No studies discuss the presense of flammable compounds in the plant. Taxon is unlikely to carry fire. </t>
  </si>
  <si>
    <t>Is a shade tolerant plant at some stage of its life cycle</t>
  </si>
  <si>
    <t>Prefers to grow in full sun (1).</t>
  </si>
  <si>
    <t>Grows on infertile soils (oligotrophic, limerock, or excessively draining soils).  North &amp; Central Zones: infertile soils; South Zone: shallow limerock or Histisols.</t>
  </si>
  <si>
    <t>Noted to be found in saturated dark soils which are commonly fertile and nutrient-rich.</t>
  </si>
  <si>
    <t>https://florida.plantatlas.usf.edu/specimen/plantdetails/1475</t>
  </si>
  <si>
    <t>Climbing or smothering growth habit</t>
  </si>
  <si>
    <t>Forms dense thickets</t>
  </si>
  <si>
    <t>No evidence of growth impeding movement through the environment.</t>
  </si>
  <si>
    <t>Aquatic</t>
  </si>
  <si>
    <t>Prefers aquatic environments and persists through periods of high inundation (1)(2).</t>
  </si>
  <si>
    <t>Grass</t>
  </si>
  <si>
    <t>Not of the Poaceae family</t>
  </si>
  <si>
    <t>Nitrogen fixing woody plant</t>
  </si>
  <si>
    <t>Is of the Marsileaceae family</t>
  </si>
  <si>
    <t>https://powo.science.kew.org/taxon/urn:lsid:ipni.org:names:17145140-1</t>
  </si>
  <si>
    <t>Geophyte</t>
  </si>
  <si>
    <t>Does not possess tubers or other specialized organs.</t>
  </si>
  <si>
    <t>Evidence of substantial reproductive failure in native habitat</t>
  </si>
  <si>
    <t>No evidence. Taxon is not threatened.</t>
  </si>
  <si>
    <t>Produces viable seed</t>
  </si>
  <si>
    <t>M. minuta is not a sterile subspecies, variety, or cultivar</t>
  </si>
  <si>
    <t>Hybridizes naturally</t>
  </si>
  <si>
    <t>no evidence that marsileas hybridize naturally.</t>
  </si>
  <si>
    <t>https://www.floridamuseum.ufl.edu/herbarium/research/barcoding/marsilea-report/</t>
  </si>
  <si>
    <t>Self-compatible or apomictic</t>
  </si>
  <si>
    <t>Taxon is a fern that can produce macro-sporangia and micro-sporangia in one plant.</t>
  </si>
  <si>
    <t>https://www.cabidigitallibrary.org/doi/full/10.1079/cabicompendium.32557</t>
  </si>
  <si>
    <t>Requires specialist pollinators</t>
  </si>
  <si>
    <t>No evidence. Taxon is a fern</t>
  </si>
  <si>
    <t>Reproduction by vegetative propagation</t>
  </si>
  <si>
    <t>M. minuta possesses pubescent creeping rhizomes that can root at the nodes (1).</t>
  </si>
  <si>
    <t>Minimum generative time (years)</t>
  </si>
  <si>
    <t>No studies list time from germination to complete reproduction</t>
  </si>
  <si>
    <t>Propagules likely to be dispersed unintentionally (plants growing in heavily trafficked areas)</t>
  </si>
  <si>
    <t>Propagules are extremely small and easily dispersed in water and in soil.</t>
  </si>
  <si>
    <t>Propagules dispersed intentionally by people</t>
  </si>
  <si>
    <t>A possible pathway of introduction to Florida is through the aquarium trade (1).</t>
  </si>
  <si>
    <t>https://plant-directory.ifas.ufl.edu/plant-directory/marsilea-species/</t>
  </si>
  <si>
    <t>Propagules likely to disperse as a produce contaminant</t>
  </si>
  <si>
    <t>No noted occurances of produce contamination, but taxon is a know pest of rice production.</t>
  </si>
  <si>
    <t>Propagules adapted to wind dispersal</t>
  </si>
  <si>
    <t>Not much information found regarding taxon, but fern spores in general are spread by wind.</t>
  </si>
  <si>
    <t>Rose, Jeffrey P., and Cynthia L. Dassler. “Spore Production and Dispersal in Two Temperate Fern Species, With an Overview of the Evolution of Spore Production in Ferns.” American Fern Journal, vol. 107, no. 3, 2017, pp. 136–55. JSTOR, http://www.jstor.org/stable/44858029. Accessed 13 June 2025.</t>
  </si>
  <si>
    <t>Propagules water dispersed</t>
  </si>
  <si>
    <t>Not much information found regarding taxon, but fern spores in general are easily spread by water.</t>
  </si>
  <si>
    <t>Propagules bird dispersed</t>
  </si>
  <si>
    <t>It is possible that sporocarps can be transported by being ingested by migratory waterfowl.</t>
  </si>
  <si>
    <t>BURKHALTER, JAMES R. “MARSILEA MINUTA (MARSILEACEAE): NEW TO FLORIDA AND NORTH AMERICA.” SIDA, Contributions to Botany, vol. 16, no. 3, 1995, pp. 545–49. JSTOR, http://www.jstor.org/stable/41967158. Accessed 11 June 2025.</t>
  </si>
  <si>
    <t>Propagules dispersed by other animals (externally)</t>
  </si>
  <si>
    <t>Propagules dispersed by other animals (internally)</t>
  </si>
  <si>
    <t>Prolific seed production</t>
  </si>
  <si>
    <t>Described as producing "numerous" spores (1) Taxon is a fern.</t>
  </si>
  <si>
    <t>Evidence that a persistent propagule bank is formed (&gt;1 yr)</t>
  </si>
  <si>
    <t>Not enough information found</t>
  </si>
  <si>
    <t>Well controlled by herbicides</t>
  </si>
  <si>
    <t>M. minuta is commonly controlled by herbicides during rice production (1)(2).</t>
  </si>
  <si>
    <t>(1) http://books.irri.org/9712200205_content.pdf          (2) https://www.cabidigitallibrary.org/doi/full/10.1079/cabicompendium.32557</t>
  </si>
  <si>
    <t>Tolerates, or benefits from, mutilation or cultivation</t>
  </si>
  <si>
    <t>Can reproduce vegetatively but not enough evidence noting that M. minuta benefits from mutilation (1).</t>
  </si>
  <si>
    <t>Effective natural enemies present in U.S.</t>
  </si>
  <si>
    <t>No evidence of enemies occurring in the U.S. One noted enemy (not currently  in the U.S.) is the larvae of the Lepidopteran Nymphula responsalis, a defoliator of several aquatic plants including M. minuta. (1)</t>
  </si>
  <si>
    <t>(1) Vergis, P. C. “On the Occurrence of Nymphula Responsalis Walker as a Pest of Salvinia Sp. in Kerala State.” Current science (Bangalore) 45.3 (1976): 117–117. Print.</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</si>
  <si>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</si>
  <si>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</si>
  <si>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</si>
  <si>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</si>
  <si>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</si>
  <si>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</si>
  <si>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</si>
  <si>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</si>
  <si>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</si>
  <si>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</si>
  <si>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</si>
  <si>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</si>
  <si>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 xml:space="preserve"> Taxon is clearly bird- or wind-dispersed?</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</si>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</sst>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b/>
      <sz val="11"/>
      <color rgb="FFFF0000"/>
      <name val="Calibri"/>
      <family val="2"/>
      <scheme val="minor"/>
    </font>
    <font>
      <u/>
      <sz val="11"/>
      <color theme="10"/>
      <name val="Calibri"/>
      <family val="2"/>
      <scheme val="minor"/>
    </font>
    <font>
      <sz val="11"/>
      <color rgb="FF00000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9">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
      <left style="thin">
        <color rgb="FFD2D2DF"/>
      </left>
      <right style="thin">
        <color rgb="FFD2D2DF"/>
      </right>
      <top/>
      <bottom style="thin">
        <color rgb="FFD2D2DF"/>
      </bottom>
      <diagonal/>
    </border>
  </borders>
  <cellStyleXfs count="2">
    <xf numFmtId="0" fontId="0" fillId="0" borderId="0" applyProtection="0"/>
    <xf numFmtId="0" fontId="26" fillId="0" borderId="0" applyNumberFormat="0" applyFill="0" applyBorder="0" applyAlignment="0" applyProtection="0"/>
  </cellStyleXfs>
  <cellXfs count="158">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1" fillId="0" borderId="5" xfId="0" applyFont="1" applyBorder="1" applyAlignment="1" applyProtection="1">
      <alignment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37" xfId="0" applyBorder="1" applyAlignment="1">
      <alignment horizontal="center"/>
    </xf>
    <xf numFmtId="0" fontId="0" fillId="0" borderId="19" xfId="0" applyBorder="1" applyAlignment="1">
      <alignment horizontal="center"/>
    </xf>
    <xf numFmtId="0" fontId="24" fillId="5" borderId="28" xfId="0" applyFont="1" applyFill="1" applyBorder="1" applyAlignment="1" applyProtection="1">
      <alignment horizontal="left" vertical="center"/>
      <protection locked="0"/>
    </xf>
    <xf numFmtId="0" fontId="25" fillId="0" borderId="0" xfId="0" applyFont="1" applyAlignment="1" applyProtection="1">
      <alignment horizontal="center" vertical="top" wrapText="1"/>
      <protection locked="0"/>
    </xf>
    <xf numFmtId="0" fontId="27" fillId="0" borderId="0" xfId="0" applyFont="1" applyAlignment="1" applyProtection="1">
      <alignment wrapText="1"/>
      <protection locked="0"/>
    </xf>
    <xf numFmtId="0" fontId="26" fillId="0" borderId="0" xfId="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Alignment="1" applyProtection="1">
      <alignment wrapText="1"/>
      <protection locked="0"/>
    </xf>
    <xf numFmtId="0" fontId="0" fillId="0" borderId="38" xfId="0" applyBorder="1" applyAlignment="1" applyProtection="1">
      <alignment wrapText="1"/>
      <protection locked="0"/>
    </xf>
    <xf numFmtId="0" fontId="0" fillId="0" borderId="26" xfId="0" applyBorder="1" applyAlignment="1" applyProtection="1">
      <alignment wrapText="1"/>
      <protection locked="0"/>
    </xf>
    <xf numFmtId="0" fontId="0" fillId="0" borderId="0" xfId="0" applyProtection="1">
      <protection locked="0"/>
    </xf>
    <xf numFmtId="0" fontId="0" fillId="3" borderId="24" xfId="0" applyFill="1" applyBorder="1" applyAlignment="1" applyProtection="1">
      <alignment wrapText="1"/>
      <protection locked="0"/>
    </xf>
    <xf numFmtId="0" fontId="0" fillId="0" borderId="0" xfId="0" applyAlignment="1" applyProtection="1">
      <alignment wrapText="1"/>
    </xf>
    <xf numFmtId="0" fontId="12" fillId="0" borderId="0" xfId="0" applyFont="1" applyAlignment="1" applyProtection="1">
      <alignment wrapText="1"/>
      <protection locked="0"/>
    </xf>
    <xf numFmtId="0" fontId="0" fillId="3" borderId="0" xfId="0" applyFill="1" applyAlignment="1" applyProtection="1">
      <alignment wrapText="1"/>
    </xf>
    <xf numFmtId="0" fontId="0" fillId="6" borderId="0" xfId="0" applyFill="1" applyAlignment="1" applyProtection="1">
      <alignment wrapText="1"/>
      <protection locked="0"/>
    </xf>
    <xf numFmtId="0" fontId="0" fillId="6" borderId="0" xfId="0" applyFill="1" applyProtection="1">
      <protection locked="0"/>
    </xf>
    <xf numFmtId="16" fontId="0" fillId="0" borderId="0" xfId="0" applyNumberFormat="1" applyAlignment="1" applyProtection="1">
      <alignment wrapText="1"/>
      <protection locked="0"/>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6" xfId="0" applyBorder="1" applyAlignment="1" applyProtection="1">
      <alignment horizontal="center" vertical="center" wrapText="1"/>
    </xf>
    <xf numFmtId="0" fontId="0" fillId="0" borderId="0" xfId="0" applyAlignment="1" applyProtection="1">
      <alignment horizontal="center" vertical="center" wrapText="1"/>
    </xf>
    <xf numFmtId="0" fontId="0" fillId="0" borderId="23"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4" xfId="0" applyBorder="1" applyProtection="1"/>
    <xf numFmtId="0" fontId="0" fillId="0" borderId="0" xfId="0" applyAlignment="1" applyProtection="1">
      <alignment horizontal="center"/>
      <protection locked="0"/>
    </xf>
    <xf numFmtId="0" fontId="0" fillId="0" borderId="0" xfId="0" applyAlignment="1" applyProtection="1">
      <alignment horizontal="center" vertical="center"/>
      <protection locked="0"/>
    </xf>
    <xf numFmtId="0" fontId="0" fillId="0" borderId="15" xfId="0" applyBorder="1" applyAlignment="1" applyProtection="1">
      <alignment horizontal="center" vertical="center"/>
    </xf>
    <xf numFmtId="0" fontId="0" fillId="0" borderId="15" xfId="0" applyBorder="1" applyAlignment="1" applyProtection="1">
      <alignment horizontal="center"/>
    </xf>
    <xf numFmtId="0" fontId="0" fillId="0" borderId="19" xfId="0" applyBorder="1" applyProtection="1"/>
    <xf numFmtId="0" fontId="0" fillId="0" borderId="20" xfId="0" applyBorder="1" applyAlignment="1" applyProtection="1">
      <alignment horizontal="center"/>
      <protection locked="0"/>
    </xf>
    <xf numFmtId="0" fontId="0" fillId="0" borderId="21" xfId="0" applyBorder="1" applyAlignment="1" applyProtection="1">
      <alignment horizontal="center"/>
    </xf>
    <xf numFmtId="0" fontId="0" fillId="3" borderId="24" xfId="0" applyFill="1" applyBorder="1" applyProtection="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4" xfId="0" applyBorder="1" applyAlignment="1">
      <alignment vertical="top"/>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applyAlignment="1">
      <alignment horizontal="left" vertical="top"/>
    </xf>
    <xf numFmtId="0" fontId="0" fillId="0" borderId="0" xfId="0" applyAlignment="1">
      <alignment horizontal="lef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xf numFmtId="0" fontId="0" fillId="0" borderId="14" xfId="0" applyBorder="1" applyAlignment="1"/>
    <xf numFmtId="0" fontId="0" fillId="0" borderId="0" xfId="0" applyAlignment="1"/>
    <xf numFmtId="0" fontId="0" fillId="0" borderId="15" xfId="0" applyBorder="1" applyAlignment="1"/>
    <xf numFmtId="0" fontId="0" fillId="0" borderId="33" xfId="0" applyBorder="1" applyAlignment="1"/>
    <xf numFmtId="0" fontId="0" fillId="0" borderId="16" xfId="0" applyBorder="1" applyAlignment="1"/>
    <xf numFmtId="0" fontId="0" fillId="0" borderId="20" xfId="0" applyBorder="1" applyAlignment="1"/>
    <xf numFmtId="0" fontId="0" fillId="0" borderId="21" xfId="0" applyBorder="1" applyAlignment="1"/>
  </cellXfs>
  <cellStyles count="2">
    <cellStyle name="Hyperlink" xfId="1" builtinId="8"/>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lorida.plantatlas.usf.edu/specimen/plantdetails/1475" TargetMode="External"/><Relationship Id="rId2" Type="http://schemas.openxmlformats.org/officeDocument/2006/relationships/hyperlink" Target="https://plant-directory.ifas.ufl.edu/plant-directory/marsilea-species/" TargetMode="External"/><Relationship Id="rId1" Type="http://schemas.openxmlformats.org/officeDocument/2006/relationships/hyperlink" Target="https://powo.science.kew.org/taxon/urn:lsid:ipni.org:names:17145140-1" TargetMode="External"/><Relationship Id="rId5" Type="http://schemas.openxmlformats.org/officeDocument/2006/relationships/printerSettings" Target="../printerSettings/printerSettings1.bin"/><Relationship Id="rId4" Type="http://schemas.openxmlformats.org/officeDocument/2006/relationships/hyperlink" Target="http://books.irri.org/9712200205_content.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zoomScale="125" zoomScaleNormal="125" workbookViewId="0">
      <pane xSplit="1" topLeftCell="B1" activePane="topRight" state="frozen"/>
      <selection pane="topRight" activeCell="G41" sqref="G41"/>
      <selection activeCell="A10" sqref="A10"/>
    </sheetView>
  </sheetViews>
  <sheetFormatPr defaultColWidth="9.140625" defaultRowHeight="15"/>
  <cols>
    <col min="1" max="1" width="9" style="84" customWidth="1"/>
    <col min="2" max="2" width="45.42578125" style="84" customWidth="1"/>
    <col min="3" max="3" width="12.42578125" style="84" customWidth="1"/>
    <col min="4" max="4" width="9.42578125" style="84" bestFit="1" customWidth="1"/>
    <col min="5" max="5" width="12.28515625" style="106" hidden="1" customWidth="1"/>
    <col min="6" max="6" width="61.42578125" style="84" customWidth="1"/>
    <col min="7" max="7" width="43.28515625" style="84" customWidth="1"/>
    <col min="8" max="8" width="27.140625" style="69" customWidth="1"/>
    <col min="9" max="16384" width="9.140625" style="84"/>
  </cols>
  <sheetData>
    <row r="1" spans="1:8" ht="30" customHeight="1">
      <c r="A1" s="23" t="s">
        <v>0</v>
      </c>
      <c r="B1" s="69" t="s">
        <v>1</v>
      </c>
      <c r="C1" s="81"/>
      <c r="D1" s="81"/>
      <c r="E1" s="85"/>
      <c r="F1" s="81" t="s">
        <v>2</v>
      </c>
      <c r="G1" s="81"/>
    </row>
    <row r="2" spans="1:8" s="17" customFormat="1" ht="30.75" customHeight="1">
      <c r="A2" s="18" t="s">
        <v>3</v>
      </c>
      <c r="B2" s="18" t="s">
        <v>4</v>
      </c>
      <c r="C2" s="18" t="s">
        <v>5</v>
      </c>
      <c r="D2" s="18" t="s">
        <v>6</v>
      </c>
      <c r="E2" s="72" t="s">
        <v>7</v>
      </c>
      <c r="F2" s="18" t="s">
        <v>8</v>
      </c>
      <c r="G2" s="18" t="s">
        <v>9</v>
      </c>
      <c r="H2" s="76"/>
    </row>
    <row r="3" spans="1:8" ht="15.95">
      <c r="A3" s="52">
        <v>1.01</v>
      </c>
      <c r="B3" s="53" t="s">
        <v>10</v>
      </c>
      <c r="C3" s="81" t="s">
        <v>11</v>
      </c>
      <c r="D3" s="86">
        <f>IF(C3="Y",-3,IF(C3="N",0," "))</f>
        <v>0</v>
      </c>
      <c r="E3" s="85"/>
      <c r="F3" s="87"/>
      <c r="G3" s="80"/>
    </row>
    <row r="4" spans="1:8" ht="15.95">
      <c r="A4" s="52">
        <v>1.02</v>
      </c>
      <c r="B4" s="53" t="s">
        <v>12</v>
      </c>
      <c r="C4" s="81"/>
      <c r="D4" s="86" t="str">
        <f>IF(C4="n",VLOOKUP(LUT!C5,LUT!C4:E52,2),IF(C4="y",VLOOKUP(LUT!C5,LUT!C4:E52,3)," "))</f>
        <v xml:space="preserve"> </v>
      </c>
      <c r="E4" s="85"/>
      <c r="F4" s="80"/>
      <c r="G4" s="80"/>
    </row>
    <row r="5" spans="1:8" ht="15.95">
      <c r="A5" s="52">
        <v>1.03</v>
      </c>
      <c r="B5" s="53" t="s">
        <v>13</v>
      </c>
      <c r="C5" s="81"/>
      <c r="D5" s="86" t="str">
        <f>IF(C5="Y",1,IF(C5="N",-1," "))</f>
        <v xml:space="preserve"> </v>
      </c>
      <c r="E5" s="85"/>
      <c r="F5" s="80"/>
      <c r="G5" s="80"/>
    </row>
    <row r="6" spans="1:8" ht="80.099999999999994">
      <c r="A6" s="52">
        <v>2.0099999999999998</v>
      </c>
      <c r="B6" s="53" t="s">
        <v>14</v>
      </c>
      <c r="C6" s="81">
        <v>3</v>
      </c>
      <c r="D6" s="88"/>
      <c r="E6" s="85"/>
      <c r="F6" s="87" t="s">
        <v>15</v>
      </c>
      <c r="G6" s="77" t="s">
        <v>16</v>
      </c>
    </row>
    <row r="7" spans="1:8" ht="32.1">
      <c r="A7" s="52">
        <v>2.02</v>
      </c>
      <c r="B7" s="53" t="s">
        <v>17</v>
      </c>
      <c r="C7" s="81">
        <v>3</v>
      </c>
      <c r="D7" s="88"/>
      <c r="E7" s="85"/>
      <c r="F7" s="87" t="s">
        <v>18</v>
      </c>
      <c r="G7" s="77" t="s">
        <v>16</v>
      </c>
    </row>
    <row r="8" spans="1:8" ht="48">
      <c r="A8" s="52">
        <v>2.0299999999999998</v>
      </c>
      <c r="B8" s="53" t="s">
        <v>19</v>
      </c>
      <c r="C8" s="81" t="s">
        <v>20</v>
      </c>
      <c r="D8" s="86">
        <f>IF(C8="y",1,IF(C8="n",0," "))</f>
        <v>1</v>
      </c>
      <c r="E8" s="85"/>
      <c r="F8" s="87" t="s">
        <v>21</v>
      </c>
      <c r="G8" s="87" t="s">
        <v>22</v>
      </c>
    </row>
    <row r="9" spans="1:8" ht="111.95">
      <c r="A9" s="52">
        <v>2.04</v>
      </c>
      <c r="B9" s="53" t="s">
        <v>23</v>
      </c>
      <c r="C9" s="81" t="s">
        <v>20</v>
      </c>
      <c r="D9" s="86">
        <f>IF(C9="y",1,IF(C9="n",0," "))</f>
        <v>1</v>
      </c>
      <c r="E9" s="85"/>
      <c r="F9" s="87" t="s">
        <v>24</v>
      </c>
      <c r="G9" s="87" t="s">
        <v>25</v>
      </c>
    </row>
    <row r="10" spans="1:8" ht="80.099999999999994">
      <c r="A10" s="52">
        <v>2.0499999999999998</v>
      </c>
      <c r="B10" s="53" t="s">
        <v>26</v>
      </c>
      <c r="C10" s="81" t="s">
        <v>20</v>
      </c>
      <c r="D10" s="88"/>
      <c r="E10" s="85"/>
      <c r="F10" s="81" t="s">
        <v>27</v>
      </c>
      <c r="G10" s="87" t="s">
        <v>28</v>
      </c>
    </row>
    <row r="11" spans="1:8" ht="80.099999999999994">
      <c r="A11" s="52">
        <v>3.01</v>
      </c>
      <c r="B11" s="53" t="s">
        <v>29</v>
      </c>
      <c r="C11" s="81" t="s">
        <v>20</v>
      </c>
      <c r="D11" s="86">
        <f>IF(C11="n",LOOKUP($C$10,LUT!$I$13:$L$13,LUT!$I$14:$L$14),IF(AND(C11="y",AND($C$6=1,$C$7=1)),2,IF(AND(C11="y",AND($C$6=1,$C$7=2)),1,IF(AND(C11="y",AND($C$6=1,$C$7=3)),1,IF(AND(C11="y",AND($C$6=2,$C$7=1)),2,IF(AND(C11="y",AND($C$6=2,$C$7=2)),2,IF(AND(C11="y",AND($C$6=2,$C$7=3)),1,IF(AND(C11="y",AND($C$6=3,$C$7=1)),2,IF(AND(C11="y",AND($C$6=3,$C$7=2)),2,IF(AND(C11="y",AND($C$6=3,$C$7=3)),2,""))))))))))</f>
        <v>2</v>
      </c>
      <c r="E11" s="85"/>
      <c r="F11" s="77" t="s">
        <v>30</v>
      </c>
      <c r="G11" s="87" t="s">
        <v>28</v>
      </c>
    </row>
    <row r="12" spans="1:8" ht="80.099999999999994">
      <c r="A12" s="52">
        <v>3.02</v>
      </c>
      <c r="B12" s="53" t="s">
        <v>31</v>
      </c>
      <c r="C12" s="81" t="s">
        <v>20</v>
      </c>
      <c r="D12" s="86">
        <f>IF(C12="n",LOOKUP($C$10,LUT!$I$13:$L$13,LUT!$I$15:$L$15),IF(AND(C12="y",AND($C$6=1,$C$7=1)),2,IF(AND(C12="y",AND($C$6=1,$C$7=2)),1,IF(AND(C12="y",AND($C$6=1,$C$7=3)),1,IF(AND(C12="y",AND($C$6=2,$C$7=1)),2,IF(AND(C12="y",AND($C$6=2,$C$7=2)),2,IF(AND(C12="y",AND($C$6=2,$C$7=3)),1,IF(AND(C12="y",AND($C$6=3,$C$7=1)),2,IF(AND(C12="y",AND($C$6=3,$C$7=2)),2,IF(AND(C12="y",AND($C$6=3,$C$7=3)),2,""))))))))))</f>
        <v>2</v>
      </c>
      <c r="E12" s="85"/>
      <c r="F12" s="89" t="s">
        <v>32</v>
      </c>
      <c r="G12" s="87" t="s">
        <v>33</v>
      </c>
    </row>
    <row r="13" spans="1:8" ht="63.95">
      <c r="A13" s="52">
        <v>3.03</v>
      </c>
      <c r="B13" s="53" t="s">
        <v>34</v>
      </c>
      <c r="C13" s="81" t="s">
        <v>20</v>
      </c>
      <c r="D13" s="86">
        <f>IF(C13="n",LOOKUP($C$10,LUT!$I$13:$L$13,LUT!$I$15:$L$15),IF(AND(C13="y",AND($C$6=1,$C$7=1)),4,IF(AND(C13="y",AND($C$6=1,$C$7=2)),2,IF(AND(C13="y",AND($C$6=1,$C$7=3)),1,IF(AND(C13="y",AND($C$6=2,$C$7=1)),4,IF(AND(C13="y",AND($C$6=2,$C$7=2)),3,IF(AND(C13="y",AND($C$6=2,$C$7=3)),2,IF(AND(C13="y",AND($C$6=3,$C$7=1)),4,IF(AND(C13="y",AND($C$6=3,$C$7=2)),4,IF(AND(C13="y",AND($C$6=3,$C$7=3)),4,""))))))))))</f>
        <v>4</v>
      </c>
      <c r="E13" s="85"/>
      <c r="F13" s="90" t="s">
        <v>35</v>
      </c>
      <c r="G13" s="87" t="s">
        <v>36</v>
      </c>
    </row>
    <row r="14" spans="1:8" ht="32.1">
      <c r="A14" s="52">
        <v>3.04</v>
      </c>
      <c r="B14" s="53" t="s">
        <v>37</v>
      </c>
      <c r="C14" s="81" t="s">
        <v>38</v>
      </c>
      <c r="D14" s="86" t="str">
        <f>IF(C14="n",LOOKUP($C$10,LUT!$I$13:$L$13,LUT!$I$15:$L$15),IF(AND(C14="y",AND($C$6=1,$C$7=1)),4,IF(AND(C14="y",AND($C$6=1,$C$7=2)),2,IF(AND(C14="y",AND($C$6=1,$C$7=3)),1,IF(AND(C14="y",AND($C$6=2,$C$7=1)),4,IF(AND(C14="y",AND($C$6=2,$C$7=2)),3,IF(AND(C14="y",AND($C$6=2,$C$7=3)),2,IF(AND(C14="y",AND($C$6=3,$C$7=1)),4,IF(AND(C14="y",AND($C$6=3,$C$7=2)),4,IF(AND(C14="y",AND($C$6=3,$C$7=3)),4,""))))))))))</f>
        <v/>
      </c>
      <c r="E14" s="85"/>
      <c r="F14" s="80" t="s">
        <v>39</v>
      </c>
      <c r="G14" s="78" t="s">
        <v>40</v>
      </c>
    </row>
    <row r="15" spans="1:8" ht="80.099999999999994">
      <c r="A15" s="52">
        <v>3.05</v>
      </c>
      <c r="B15" s="53" t="s">
        <v>41</v>
      </c>
      <c r="C15" s="81" t="s">
        <v>20</v>
      </c>
      <c r="D15" s="86">
        <f>IF(C15="n",LOOKUP($C$10,LUT!$I$13:$L$13,LUT!$I$15:$L$15),IF(AND(C15="y",AND($C$6=1,$C$7=1)),2,IF(AND(C15="y",AND($C$6=1,$C$7=2)),1,IF(AND(C15="y",AND($C$6=1,$C$7=3)),1,IF(AND(C15="y",AND($C$6=2,$C$7=1)),2,IF(AND(C15="y",AND($C$6=2,$C$7=2)),2,IF(AND(C15="y",AND($C$6=2,$C$7=3)),1,IF(AND(C15="y",AND($C$6=3,$C$7=1)),2,IF(AND(C15="y",AND($C$6=3,$C$7=2)),2,IF(AND(C15="y",AND($C$6=3,$C$7=3)),2,""))))))))))</f>
        <v>2</v>
      </c>
      <c r="E15" s="85"/>
      <c r="F15" s="80" t="s">
        <v>42</v>
      </c>
      <c r="G15" s="87" t="s">
        <v>33</v>
      </c>
    </row>
    <row r="16" spans="1:8" ht="15.95">
      <c r="A16" s="52">
        <v>4.01</v>
      </c>
      <c r="B16" s="53" t="s">
        <v>43</v>
      </c>
      <c r="C16" s="81" t="s">
        <v>11</v>
      </c>
      <c r="D16" s="86">
        <f>IF(C16="y",VLOOKUP(LUT!C17,LUT!$C$4:$E$52,3),IF(C16="n",VLOOKUP(LUT!C17,LUT!$C$4:$E$52,2)," "))</f>
        <v>0</v>
      </c>
      <c r="E16" s="85"/>
      <c r="F16" s="80" t="s">
        <v>44</v>
      </c>
      <c r="G16" s="80"/>
    </row>
    <row r="17" spans="1:7" ht="96">
      <c r="A17" s="52">
        <v>4.0199999999999996</v>
      </c>
      <c r="B17" s="53" t="s">
        <v>45</v>
      </c>
      <c r="C17" s="81" t="s">
        <v>38</v>
      </c>
      <c r="D17" s="86" t="str">
        <f>IF(C17="y",VLOOKUP(LUT!C18,LUT!C4:E52,3),IF(C17="n",VLOOKUP(LUT!C18,LUT!C4:E52,2)," "))</f>
        <v xml:space="preserve"> </v>
      </c>
      <c r="E17" s="85"/>
      <c r="F17" s="80" t="s">
        <v>46</v>
      </c>
      <c r="G17" s="80" t="s">
        <v>47</v>
      </c>
    </row>
    <row r="18" spans="1:7" ht="15.95">
      <c r="A18" s="52">
        <v>4.03</v>
      </c>
      <c r="B18" s="53" t="s">
        <v>48</v>
      </c>
      <c r="C18" s="81" t="s">
        <v>11</v>
      </c>
      <c r="D18" s="86">
        <f>IF(C18="y",VLOOKUP(LUT!C19,LUT!$C$4:$E$52,3),IF(C18="n",VLOOKUP(LUT!C19,LUT!$C$4:$E$52,2)," "))</f>
        <v>0</v>
      </c>
      <c r="E18" s="85"/>
      <c r="F18" s="80" t="s">
        <v>44</v>
      </c>
    </row>
    <row r="19" spans="1:7" ht="15.95">
      <c r="A19" s="52">
        <v>4.04</v>
      </c>
      <c r="B19" s="53" t="s">
        <v>49</v>
      </c>
      <c r="C19" s="81" t="s">
        <v>38</v>
      </c>
      <c r="D19" s="86" t="str">
        <f>IF(C19="y",VLOOKUP(LUT!C20,LUT!$C$4:$E$52,3),IF(C19="n",VLOOKUP(LUT!C20,LUT!$C$4:$E$52,2)," "))</f>
        <v xml:space="preserve"> </v>
      </c>
      <c r="E19" s="85"/>
      <c r="F19" s="77" t="s">
        <v>50</v>
      </c>
      <c r="G19" s="80"/>
    </row>
    <row r="20" spans="1:7" ht="144">
      <c r="A20" s="52">
        <v>4.05</v>
      </c>
      <c r="B20" s="53" t="s">
        <v>51</v>
      </c>
      <c r="C20" s="81" t="s">
        <v>38</v>
      </c>
      <c r="D20" s="86" t="str">
        <f>IF(C20="y",VLOOKUP(LUT!C21,LUT!$C$4:$E$52,3),IF(C20="n",VLOOKUP(LUT!C21,LUT!$C$4:$E$52,2)," "))</f>
        <v xml:space="preserve"> </v>
      </c>
      <c r="E20" s="85"/>
      <c r="F20" s="80" t="s">
        <v>52</v>
      </c>
      <c r="G20" s="80" t="s">
        <v>53</v>
      </c>
    </row>
    <row r="21" spans="1:7" ht="15.95">
      <c r="A21" s="52">
        <v>4.0599999999999996</v>
      </c>
      <c r="B21" s="53" t="s">
        <v>54</v>
      </c>
      <c r="C21" s="81" t="s">
        <v>11</v>
      </c>
      <c r="D21" s="86">
        <f>IF(C21="y",VLOOKUP(LUT!C22,LUT!$C$4:$E$52,3),IF(C21="n",VLOOKUP(LUT!C22,LUT!$C$4:$E$52,2)," "))</f>
        <v>0</v>
      </c>
      <c r="E21" s="85"/>
      <c r="F21" s="80" t="s">
        <v>44</v>
      </c>
      <c r="G21" s="80"/>
    </row>
    <row r="22" spans="1:7" ht="15.95">
      <c r="A22" s="52">
        <v>4.07</v>
      </c>
      <c r="B22" s="53" t="s">
        <v>55</v>
      </c>
      <c r="C22" s="81" t="s">
        <v>11</v>
      </c>
      <c r="D22" s="86">
        <f>IF(C22="y",VLOOKUP(LUT!C23,LUT!$C$4:$E$52,3),IF(C22="n",VLOOKUP(LUT!C23,LUT!$C$4:$E$52,2)," "))</f>
        <v>0</v>
      </c>
      <c r="E22" s="85"/>
      <c r="F22" s="80" t="s">
        <v>44</v>
      </c>
      <c r="G22" s="80"/>
    </row>
    <row r="23" spans="1:7" ht="32.1">
      <c r="A23" s="52">
        <v>4.08</v>
      </c>
      <c r="B23" s="53" t="s">
        <v>56</v>
      </c>
      <c r="C23" s="81" t="s">
        <v>11</v>
      </c>
      <c r="D23" s="86">
        <f>IF(C23="y",VLOOKUP(LUT!C24,LUT!$C$4:$E$52,3),IF(C23="n",VLOOKUP(LUT!C24,LUT!$C$4:$E$52,2)," "))</f>
        <v>0</v>
      </c>
      <c r="E23" s="85"/>
      <c r="F23" s="80" t="s">
        <v>57</v>
      </c>
      <c r="G23" s="80"/>
    </row>
    <row r="24" spans="1:7" ht="48">
      <c r="A24" s="52">
        <v>4.09</v>
      </c>
      <c r="B24" s="53" t="s">
        <v>58</v>
      </c>
      <c r="C24" s="81" t="s">
        <v>11</v>
      </c>
      <c r="D24" s="86">
        <f>IF(C24="y",VLOOKUP(LUT!C25,LUT!$C$4:$E$52,3),IF(C24="n",VLOOKUP(LUT!C25,LUT!$C$4:$E$52,2)," "))</f>
        <v>0</v>
      </c>
      <c r="E24" s="85"/>
      <c r="F24" s="80" t="s">
        <v>59</v>
      </c>
      <c r="G24" s="87" t="s">
        <v>22</v>
      </c>
    </row>
    <row r="25" spans="1:7" ht="48">
      <c r="A25" s="52">
        <v>4.0999999999999996</v>
      </c>
      <c r="B25" s="54" t="s">
        <v>60</v>
      </c>
      <c r="C25" s="81" t="s">
        <v>38</v>
      </c>
      <c r="D25" s="86" t="str">
        <f>IF(C25="y",VLOOKUP(LUT!C26,LUT!$C$4:$E$52,3),IF(C25="n",VLOOKUP(LUT!C26,LUT!$C$4:$E$52,2)," "))</f>
        <v xml:space="preserve"> </v>
      </c>
      <c r="E25" s="85"/>
      <c r="F25" s="80" t="s">
        <v>61</v>
      </c>
      <c r="G25" s="78" t="s">
        <v>62</v>
      </c>
    </row>
    <row r="26" spans="1:7" ht="15.95">
      <c r="A26" s="52">
        <v>4.1100000000000003</v>
      </c>
      <c r="B26" s="53" t="s">
        <v>63</v>
      </c>
      <c r="C26" s="81" t="s">
        <v>11</v>
      </c>
      <c r="D26" s="86">
        <f>IF(C26="y",VLOOKUP(LUT!C27,LUT!$C$4:$E$52,3),IF(C26="n",VLOOKUP(LUT!C27,LUT!$C$4:$E$52,2)," "))</f>
        <v>0</v>
      </c>
      <c r="E26" s="85"/>
      <c r="F26" s="80" t="s">
        <v>44</v>
      </c>
      <c r="G26" s="80"/>
    </row>
    <row r="27" spans="1:7" ht="15.95">
      <c r="A27" s="52">
        <v>4.12</v>
      </c>
      <c r="B27" s="53" t="s">
        <v>64</v>
      </c>
      <c r="C27" s="81" t="s">
        <v>11</v>
      </c>
      <c r="D27" s="86">
        <f>IF(C27="y",VLOOKUP(LUT!C28,LUT!$C$4:$E$52,3),IF(C27="n",VLOOKUP(LUT!C28,LUT!$C$4:$E$52,2)," "))</f>
        <v>0</v>
      </c>
      <c r="E27" s="85"/>
      <c r="F27" s="80" t="s">
        <v>65</v>
      </c>
      <c r="G27" s="80"/>
    </row>
    <row r="28" spans="1:7" ht="111.95">
      <c r="A28" s="52">
        <v>5.01</v>
      </c>
      <c r="B28" s="53" t="s">
        <v>66</v>
      </c>
      <c r="C28" s="81" t="s">
        <v>20</v>
      </c>
      <c r="D28" s="86">
        <f>IF(C28="y",VLOOKUP(LUT!C29,LUT!$C$4:$E$52,3),IF(C28="n",VLOOKUP(LUT!C29,LUT!$C$4:$E$52,2)," "))</f>
        <v>5</v>
      </c>
      <c r="E28" s="85"/>
      <c r="F28" s="80" t="s">
        <v>67</v>
      </c>
      <c r="G28" s="87" t="s">
        <v>25</v>
      </c>
    </row>
    <row r="29" spans="1:7" ht="15.95">
      <c r="A29" s="52">
        <v>5.0199999999999996</v>
      </c>
      <c r="B29" s="53" t="s">
        <v>68</v>
      </c>
      <c r="C29" s="81" t="s">
        <v>11</v>
      </c>
      <c r="D29" s="86">
        <f>IF(C29="y",VLOOKUP(LUT!C30,LUT!$C$4:$E$52,3),IF(C29="n",VLOOKUP(LUT!C30,LUT!$C$4:$E$52,2)," "))</f>
        <v>0</v>
      </c>
      <c r="E29" s="85"/>
      <c r="F29" s="77" t="s">
        <v>69</v>
      </c>
      <c r="G29" s="80"/>
    </row>
    <row r="30" spans="1:7" ht="32.1">
      <c r="A30" s="52">
        <v>5.03</v>
      </c>
      <c r="B30" s="53" t="s">
        <v>70</v>
      </c>
      <c r="C30" s="81" t="s">
        <v>11</v>
      </c>
      <c r="D30" s="86">
        <f>IF(C30="y",VLOOKUP(LUT!C31,LUT!$C$4:$E$52,3),IF(C30="n",VLOOKUP(LUT!C31,LUT!$C$4:$E$52,2)," "))</f>
        <v>0</v>
      </c>
      <c r="E30" s="85"/>
      <c r="F30" s="80" t="s">
        <v>71</v>
      </c>
      <c r="G30" s="78" t="s">
        <v>72</v>
      </c>
    </row>
    <row r="31" spans="1:7" ht="15.95">
      <c r="A31" s="52">
        <v>5.04</v>
      </c>
      <c r="B31" s="53" t="s">
        <v>73</v>
      </c>
      <c r="C31" s="81" t="s">
        <v>11</v>
      </c>
      <c r="D31" s="86">
        <f>IF(C31="y",VLOOKUP(LUT!C32,LUT!$C$4:$E$52,3),IF(C31="n",VLOOKUP(LUT!C32,LUT!$C$4:$E$52,2)," "))</f>
        <v>0</v>
      </c>
      <c r="E31" s="85"/>
      <c r="F31" s="77" t="s">
        <v>74</v>
      </c>
      <c r="G31" s="80"/>
    </row>
    <row r="32" spans="1:7" ht="32.1">
      <c r="A32" s="52">
        <v>6.01</v>
      </c>
      <c r="B32" s="53" t="s">
        <v>75</v>
      </c>
      <c r="C32" s="81" t="s">
        <v>11</v>
      </c>
      <c r="D32" s="86">
        <f>IF(C32="y",VLOOKUP(LUT!C33,LUT!$C$4:$E$52,3),IF(C32="n",VLOOKUP(LUT!C33,LUT!$C$4:$E$52,2)," "))</f>
        <v>0</v>
      </c>
      <c r="E32" s="85"/>
      <c r="F32" s="80" t="s">
        <v>76</v>
      </c>
      <c r="G32" s="80"/>
    </row>
    <row r="33" spans="1:7" ht="48">
      <c r="A33" s="52">
        <v>6.02</v>
      </c>
      <c r="B33" s="53" t="s">
        <v>77</v>
      </c>
      <c r="C33" s="81" t="s">
        <v>20</v>
      </c>
      <c r="D33" s="86">
        <f>IF(C33="y",VLOOKUP(LUT!C34,LUT!$C$4:$E$52,3),IF(C33="n",VLOOKUP(LUT!C34,LUT!$C$4:$E$52,2)," "))</f>
        <v>1</v>
      </c>
      <c r="E33" s="85"/>
      <c r="F33" s="80" t="s">
        <v>78</v>
      </c>
      <c r="G33" s="87" t="s">
        <v>22</v>
      </c>
    </row>
    <row r="34" spans="1:7" ht="32.1">
      <c r="A34" s="52">
        <v>6.03</v>
      </c>
      <c r="B34" s="53" t="s">
        <v>79</v>
      </c>
      <c r="C34" s="81" t="s">
        <v>11</v>
      </c>
      <c r="D34" s="86">
        <f>IF(C34="y",VLOOKUP(LUT!C35,LUT!$C$4:$E$52,3),IF(C34="n",VLOOKUP(LUT!C35,LUT!$C$4:$E$52,2)," "))</f>
        <v>-1</v>
      </c>
      <c r="E34" s="85"/>
      <c r="F34" s="80" t="s">
        <v>80</v>
      </c>
      <c r="G34" s="80" t="s">
        <v>81</v>
      </c>
    </row>
    <row r="35" spans="1:7" ht="32.1">
      <c r="A35" s="52">
        <v>6.04</v>
      </c>
      <c r="B35" s="53" t="s">
        <v>82</v>
      </c>
      <c r="C35" s="81" t="s">
        <v>38</v>
      </c>
      <c r="D35" s="86" t="str">
        <f>IF(C35="y",VLOOKUP(LUT!C36,LUT!$C$4:$E$52,3),IF(C35="n",VLOOKUP(LUT!C36,LUT!$C$4:$E$52,2)," "))</f>
        <v xml:space="preserve"> </v>
      </c>
      <c r="E35" s="85"/>
      <c r="F35" s="80" t="s">
        <v>83</v>
      </c>
      <c r="G35" s="80" t="s">
        <v>84</v>
      </c>
    </row>
    <row r="36" spans="1:7" ht="15.95">
      <c r="A36" s="52">
        <v>6.05</v>
      </c>
      <c r="B36" s="53" t="s">
        <v>85</v>
      </c>
      <c r="C36" s="81" t="s">
        <v>11</v>
      </c>
      <c r="D36" s="86">
        <f>IF(C36="y",VLOOKUP(LUT!C37,LUT!$C$4:$E$52,3),IF(C36="n",VLOOKUP(LUT!C37,LUT!$C$4:$E$52,2)," "))</f>
        <v>0</v>
      </c>
      <c r="E36" s="85"/>
      <c r="F36" s="77" t="s">
        <v>86</v>
      </c>
      <c r="G36" s="80"/>
    </row>
    <row r="37" spans="1:7" ht="48">
      <c r="A37" s="52">
        <v>6.06</v>
      </c>
      <c r="B37" s="53" t="s">
        <v>87</v>
      </c>
      <c r="C37" s="81" t="s">
        <v>20</v>
      </c>
      <c r="D37" s="86">
        <f>IF(C37="y",VLOOKUP(LUT!C38,LUT!$C$4:$E$52,3),IF(C37="n",VLOOKUP(LUT!C38,LUT!$C$4:$E$52,2)," "))</f>
        <v>1</v>
      </c>
      <c r="E37" s="85"/>
      <c r="F37" s="80" t="s">
        <v>88</v>
      </c>
      <c r="G37" s="87" t="s">
        <v>22</v>
      </c>
    </row>
    <row r="38" spans="1:7" ht="15.95">
      <c r="A38" s="52">
        <v>6.07</v>
      </c>
      <c r="B38" s="53" t="s">
        <v>89</v>
      </c>
      <c r="C38" s="91" t="s">
        <v>38</v>
      </c>
      <c r="D38" s="86" t="str">
        <f>IF(C38="1 or fewer",1,IF(C38="2 or 3",0,IF(C38&gt;="4 or more",-1," ")))</f>
        <v xml:space="preserve"> </v>
      </c>
      <c r="E38" s="85"/>
      <c r="F38" s="82" t="s">
        <v>90</v>
      </c>
      <c r="G38" s="80"/>
    </row>
    <row r="39" spans="1:7" ht="32.1">
      <c r="A39" s="52">
        <v>7.01</v>
      </c>
      <c r="B39" s="53" t="s">
        <v>91</v>
      </c>
      <c r="C39" s="81" t="s">
        <v>20</v>
      </c>
      <c r="D39" s="86">
        <f>IF(C39="y",VLOOKUP(LUT!C40,LUT!$C$4:$E$52,3),IF(C39="n",VLOOKUP(LUT!C40,LUT!$C$4:$E$52,2)," "))</f>
        <v>1</v>
      </c>
      <c r="E39" s="85"/>
      <c r="F39" s="77" t="s">
        <v>92</v>
      </c>
      <c r="G39" s="81" t="s">
        <v>84</v>
      </c>
    </row>
    <row r="40" spans="1:7" ht="32.1">
      <c r="A40" s="52">
        <v>7.02</v>
      </c>
      <c r="B40" s="53" t="s">
        <v>93</v>
      </c>
      <c r="C40" s="81" t="s">
        <v>20</v>
      </c>
      <c r="D40" s="86">
        <f>IF(C40="y",VLOOKUP(LUT!C41,LUT!$C$4:$E$52,3),IF(C40="n",VLOOKUP(LUT!C41,LUT!$C$4:$E$52,2)," "))</f>
        <v>1</v>
      </c>
      <c r="E40" s="85"/>
      <c r="F40" s="80" t="s">
        <v>94</v>
      </c>
      <c r="G40" s="78" t="s">
        <v>95</v>
      </c>
    </row>
    <row r="41" spans="1:7" ht="32.1">
      <c r="A41" s="52">
        <v>7.03</v>
      </c>
      <c r="B41" s="53" t="s">
        <v>96</v>
      </c>
      <c r="C41" s="81" t="s">
        <v>38</v>
      </c>
      <c r="D41" s="86" t="str">
        <f>IF(C41="y",VLOOKUP(LUT!C42,LUT!$C$4:$E$52,3),IF(C41="n",VLOOKUP(LUT!C42,LUT!$C$4:$E$52,2)," "))</f>
        <v xml:space="preserve"> </v>
      </c>
      <c r="E41" s="85"/>
      <c r="F41" s="80" t="s">
        <v>97</v>
      </c>
      <c r="G41" s="80" t="s">
        <v>40</v>
      </c>
    </row>
    <row r="42" spans="1:7" ht="111.95">
      <c r="A42" s="52">
        <v>7.04</v>
      </c>
      <c r="B42" s="53" t="s">
        <v>98</v>
      </c>
      <c r="C42" s="81" t="s">
        <v>38</v>
      </c>
      <c r="D42" s="86" t="str">
        <f>IF(C42="y",VLOOKUP(LUT!C43,LUT!$C$4:$E$52,3),IF(C42="n",VLOOKUP(LUT!C43,LUT!$C$4:$E$52,2)," "))</f>
        <v xml:space="preserve"> </v>
      </c>
      <c r="E42" s="85"/>
      <c r="F42" s="77" t="s">
        <v>99</v>
      </c>
      <c r="G42" s="80" t="s">
        <v>100</v>
      </c>
    </row>
    <row r="43" spans="1:7" ht="32.1">
      <c r="A43" s="52">
        <v>7.05</v>
      </c>
      <c r="B43" s="53" t="s">
        <v>101</v>
      </c>
      <c r="C43" s="81" t="s">
        <v>38</v>
      </c>
      <c r="D43" s="86" t="str">
        <f>IF(C43="y",VLOOKUP(LUT!C44,LUT!$C$4:$E$52,3),IF(C43="n",VLOOKUP(LUT!C44,LUT!$C$4:$E$52,2)," "))</f>
        <v xml:space="preserve"> </v>
      </c>
      <c r="E43" s="85"/>
      <c r="F43" s="77" t="s">
        <v>102</v>
      </c>
      <c r="G43" s="80"/>
    </row>
    <row r="44" spans="1:7" ht="96">
      <c r="A44" s="52">
        <v>7.06</v>
      </c>
      <c r="B44" s="53" t="s">
        <v>103</v>
      </c>
      <c r="C44" s="81" t="s">
        <v>20</v>
      </c>
      <c r="D44" s="86">
        <f>IF(C44="y",VLOOKUP(LUT!C45,LUT!$C$4:$E$52,3),IF(C44="n",VLOOKUP(LUT!C45,LUT!$C$4:$E$52,2)," "))</f>
        <v>1</v>
      </c>
      <c r="E44" s="85"/>
      <c r="F44" s="80" t="s">
        <v>104</v>
      </c>
      <c r="G44" s="77" t="s">
        <v>105</v>
      </c>
    </row>
    <row r="45" spans="1:7" ht="15.95">
      <c r="A45" s="52">
        <v>7.07</v>
      </c>
      <c r="B45" s="53" t="s">
        <v>106</v>
      </c>
      <c r="C45" s="81" t="s">
        <v>11</v>
      </c>
      <c r="D45" s="86">
        <f>IF(C45="y",VLOOKUP(LUT!C46,LUT!$C$4:$E$52,3),IF(C45="n",VLOOKUP(LUT!C46,LUT!$C$4:$E$52,2)," "))</f>
        <v>-1</v>
      </c>
      <c r="E45" s="85"/>
      <c r="F45" s="80" t="s">
        <v>44</v>
      </c>
      <c r="G45" s="80"/>
    </row>
    <row r="46" spans="1:7" ht="15.95">
      <c r="A46" s="52">
        <v>7.08</v>
      </c>
      <c r="B46" s="53" t="s">
        <v>107</v>
      </c>
      <c r="C46" s="81" t="s">
        <v>38</v>
      </c>
      <c r="D46" s="86" t="str">
        <f>IF(C46="y",VLOOKUP(LUT!C47,LUT!$C$4:$E$52,3),IF(C46="n",VLOOKUP(LUT!C47,LUT!$C$4:$E$52,2)," "))</f>
        <v xml:space="preserve"> </v>
      </c>
      <c r="E46" s="85"/>
      <c r="F46" s="80" t="s">
        <v>44</v>
      </c>
      <c r="G46" s="77"/>
    </row>
    <row r="47" spans="1:7" ht="32.1">
      <c r="A47" s="52">
        <v>8.01</v>
      </c>
      <c r="B47" s="53" t="s">
        <v>108</v>
      </c>
      <c r="C47" s="81" t="s">
        <v>20</v>
      </c>
      <c r="D47" s="86">
        <f>IF(C47="y",VLOOKUP(LUT!C48,LUT!$C$4:$E$52,3),IF(C47="n",VLOOKUP(LUT!C48,LUT!$C$4:$E$52,2)," "))</f>
        <v>1</v>
      </c>
      <c r="E47" s="85"/>
      <c r="F47" s="79" t="s">
        <v>109</v>
      </c>
      <c r="G47" s="80" t="s">
        <v>84</v>
      </c>
    </row>
    <row r="48" spans="1:7" ht="15.95">
      <c r="A48" s="52">
        <v>8.02</v>
      </c>
      <c r="B48" s="53" t="s">
        <v>110</v>
      </c>
      <c r="C48" s="81" t="s">
        <v>38</v>
      </c>
      <c r="D48" s="86" t="str">
        <f>IF(C48="y",VLOOKUP(LUT!C49,LUT!$C$4:$E$52,3),IF(C48="n",VLOOKUP(LUT!C49,LUT!$C$4:$E$52,2)," "))</f>
        <v xml:space="preserve"> </v>
      </c>
      <c r="E48" s="85"/>
      <c r="F48" s="79" t="s">
        <v>111</v>
      </c>
      <c r="G48" s="80"/>
    </row>
    <row r="49" spans="1:7" ht="63.95">
      <c r="A49" s="52">
        <v>8.0299999999999994</v>
      </c>
      <c r="B49" s="53" t="s">
        <v>112</v>
      </c>
      <c r="C49" s="81" t="s">
        <v>20</v>
      </c>
      <c r="D49" s="86">
        <f>IF(C49="y",VLOOKUP(LUT!C50,LUT!$C$4:$E$52,3),IF(C49="n",VLOOKUP(LUT!C50,LUT!$C$4:$E$52,2)," "))</f>
        <v>-1</v>
      </c>
      <c r="E49" s="85"/>
      <c r="F49" s="80" t="s">
        <v>113</v>
      </c>
      <c r="G49" s="81" t="s">
        <v>114</v>
      </c>
    </row>
    <row r="50" spans="1:7" ht="48">
      <c r="A50" s="52">
        <v>8.0399999999999991</v>
      </c>
      <c r="B50" s="53" t="s">
        <v>115</v>
      </c>
      <c r="C50" s="81" t="s">
        <v>38</v>
      </c>
      <c r="D50" s="86" t="str">
        <f>IF(C50="y",VLOOKUP(LUT!C51,LUT!$C$4:$E$52,3),IF(C50="n",VLOOKUP(LUT!C51,LUT!$C$4:$E$52,2)," "))</f>
        <v xml:space="preserve"> </v>
      </c>
      <c r="E50" s="85"/>
      <c r="F50" s="80" t="s">
        <v>116</v>
      </c>
      <c r="G50" s="87" t="s">
        <v>22</v>
      </c>
    </row>
    <row r="51" spans="1:7" ht="63.95">
      <c r="A51" s="52">
        <v>8.0500000000000007</v>
      </c>
      <c r="B51" s="53" t="s">
        <v>117</v>
      </c>
      <c r="C51" s="81" t="s">
        <v>11</v>
      </c>
      <c r="D51" s="86">
        <f>IF(C51="y",VLOOKUP(LUT!C52,LUT!$C$4:$E$52,3),IF(C51="n",VLOOKUP(LUT!C52,LUT!$C$4:$E$52,2)," "))</f>
        <v>1</v>
      </c>
      <c r="E51" s="85"/>
      <c r="F51" s="80" t="s">
        <v>118</v>
      </c>
      <c r="G51" s="80" t="s">
        <v>119</v>
      </c>
    </row>
    <row r="52" spans="1:7" ht="15.95" thickBot="1">
      <c r="A52" s="71"/>
      <c r="B52" s="70"/>
      <c r="C52" s="81"/>
      <c r="D52" s="81"/>
      <c r="E52" s="85"/>
      <c r="F52" s="81"/>
      <c r="G52" s="81"/>
    </row>
    <row r="53" spans="1:7" ht="29.25" customHeight="1" thickTop="1">
      <c r="A53" s="81"/>
      <c r="B53" s="81"/>
      <c r="C53" s="55" t="s">
        <v>120</v>
      </c>
      <c r="D53" s="92">
        <f>SUM(D3:D51)</f>
        <v>21</v>
      </c>
      <c r="E53" s="93"/>
      <c r="F53" s="81"/>
      <c r="G53" s="81"/>
    </row>
    <row r="54" spans="1:7" ht="33" customHeight="1" thickBot="1">
      <c r="A54" s="81"/>
      <c r="B54" s="81"/>
      <c r="C54" s="56" t="s">
        <v>121</v>
      </c>
      <c r="D54" s="94" t="str">
        <f>IF(E60="no","more info needed",IF(D53&lt;1,"accept",IF(D53&gt;6,"reject","evaluate further")))</f>
        <v>reject</v>
      </c>
      <c r="E54" s="93"/>
      <c r="F54" s="81"/>
      <c r="G54" s="81"/>
    </row>
    <row r="55" spans="1:7" ht="17.100000000000001" thickTop="1" thickBot="1">
      <c r="A55" s="81"/>
      <c r="B55" s="81"/>
      <c r="C55" s="81"/>
      <c r="D55" s="81"/>
      <c r="E55" s="85"/>
      <c r="F55" s="81"/>
      <c r="G55" s="81"/>
    </row>
    <row r="56" spans="1:7" ht="33.950000000000003" thickTop="1" thickBot="1">
      <c r="A56" s="81"/>
      <c r="B56" s="20" t="s">
        <v>122</v>
      </c>
      <c r="C56" s="21" t="s">
        <v>123</v>
      </c>
      <c r="D56" s="19" t="s">
        <v>124</v>
      </c>
      <c r="E56" s="93"/>
      <c r="F56" s="83"/>
      <c r="G56" s="81"/>
    </row>
    <row r="57" spans="1:7" ht="17.100000000000001" thickTop="1">
      <c r="A57" s="81"/>
      <c r="B57" s="24" t="s">
        <v>125</v>
      </c>
      <c r="C57" s="95">
        <f>COUNTIF(C3:C15, "y")+COUNTIF(C3:C15, "n")+COUNTIF(C6:C7, "1")+COUNTIF(C6:C7, "2")+COUNTIF(C6:C7, "3")</f>
        <v>10</v>
      </c>
      <c r="D57" s="96" t="str">
        <f>IF(C57&gt;=2,"yes","no")</f>
        <v>yes</v>
      </c>
      <c r="E57" s="93"/>
      <c r="F57" s="81"/>
      <c r="G57" s="81"/>
    </row>
    <row r="58" spans="1:7" ht="15.95">
      <c r="A58" s="81"/>
      <c r="B58" s="25" t="s">
        <v>126</v>
      </c>
      <c r="C58" s="95">
        <f>COUNTIF(C16:C27,"y")+COUNTIF(C16:C27,"n")</f>
        <v>8</v>
      </c>
      <c r="D58" s="96" t="str">
        <f>IF(C58&gt;=2,"yes","no")</f>
        <v>yes</v>
      </c>
      <c r="E58" s="93"/>
      <c r="F58" s="81"/>
      <c r="G58" s="81"/>
    </row>
    <row r="59" spans="1:7" ht="15.95">
      <c r="A59" s="81"/>
      <c r="B59" s="24" t="s">
        <v>127</v>
      </c>
      <c r="C59" s="95">
        <f>COUNTIF(C28:C51,"y")+COUNTIF(C28:C51, "n")+COUNT(C28:C51)</f>
        <v>16</v>
      </c>
      <c r="D59" s="96" t="str">
        <f>IF(C59&gt;=6,"yes","no")</f>
        <v>yes</v>
      </c>
      <c r="E59" s="93"/>
      <c r="F59" s="81"/>
      <c r="G59" s="81"/>
    </row>
    <row r="60" spans="1:7" ht="17.100000000000001" thickBot="1">
      <c r="A60" s="81"/>
      <c r="B60" s="22" t="s">
        <v>128</v>
      </c>
      <c r="C60" s="97">
        <f>SUM(C57:C59)</f>
        <v>34</v>
      </c>
      <c r="D60" s="94" t="str">
        <f>IF(D57="no","no",IF(D58="no","no",IF(D59="no","no","yes")))</f>
        <v>yes</v>
      </c>
      <c r="E60" s="93"/>
      <c r="F60" s="81"/>
      <c r="G60" s="81"/>
    </row>
    <row r="61" spans="1:7" ht="15.95" thickTop="1">
      <c r="A61" s="81"/>
      <c r="B61" s="81"/>
      <c r="C61" s="81"/>
      <c r="D61" s="81"/>
      <c r="E61" s="85"/>
      <c r="F61" s="81"/>
      <c r="G61" s="81"/>
    </row>
    <row r="62" spans="1:7">
      <c r="A62" s="81"/>
      <c r="B62" s="81"/>
      <c r="C62" s="81"/>
      <c r="D62" s="81"/>
      <c r="E62" s="85"/>
      <c r="F62" s="81"/>
      <c r="G62" s="81"/>
    </row>
    <row r="63" spans="1:7" ht="15.95" thickBot="1">
      <c r="A63" s="81"/>
      <c r="B63" s="111" t="s">
        <v>129</v>
      </c>
      <c r="C63" s="111"/>
      <c r="D63" s="111"/>
      <c r="E63" s="93"/>
      <c r="F63" s="81"/>
      <c r="G63" s="81"/>
    </row>
    <row r="64" spans="1:7" ht="15.95" thickBot="1">
      <c r="A64" s="81"/>
      <c r="B64" s="112" t="s">
        <v>130</v>
      </c>
      <c r="C64" s="113"/>
      <c r="D64" s="114"/>
      <c r="E64" s="93"/>
      <c r="F64" s="81"/>
      <c r="G64" s="81"/>
    </row>
    <row r="65" spans="1:7">
      <c r="A65" s="81">
        <v>9.01</v>
      </c>
      <c r="B65" s="98" t="s">
        <v>131</v>
      </c>
      <c r="C65" s="115"/>
      <c r="D65" s="116"/>
      <c r="E65" s="93"/>
      <c r="F65" s="81"/>
      <c r="G65" s="81"/>
    </row>
    <row r="66" spans="1:7">
      <c r="A66" s="81">
        <v>9.02</v>
      </c>
      <c r="B66" s="98" t="s">
        <v>132</v>
      </c>
      <c r="C66" s="117"/>
      <c r="D66" s="118"/>
      <c r="E66" s="93"/>
      <c r="F66" s="81"/>
      <c r="G66" s="81"/>
    </row>
    <row r="67" spans="1:7">
      <c r="A67" s="81">
        <v>9.0299999999999994</v>
      </c>
      <c r="B67" s="98" t="s">
        <v>133</v>
      </c>
      <c r="C67" s="109"/>
      <c r="D67" s="110"/>
      <c r="E67" s="93"/>
      <c r="F67" s="81"/>
      <c r="G67" s="81"/>
    </row>
    <row r="68" spans="1:7">
      <c r="A68" s="81">
        <v>9.0399999999999991</v>
      </c>
      <c r="B68" s="98" t="s">
        <v>134</v>
      </c>
      <c r="C68" s="109"/>
      <c r="D68" s="110"/>
      <c r="E68" s="93"/>
      <c r="F68" s="81"/>
      <c r="G68" s="81"/>
    </row>
    <row r="69" spans="1:7">
      <c r="A69" s="81">
        <v>9.0500000000000007</v>
      </c>
      <c r="B69" s="98" t="s">
        <v>135</v>
      </c>
      <c r="C69" s="109"/>
      <c r="D69" s="110"/>
      <c r="E69" s="93"/>
      <c r="F69" s="81"/>
      <c r="G69" s="81"/>
    </row>
    <row r="70" spans="1:7">
      <c r="A70" s="81">
        <v>9.06</v>
      </c>
      <c r="B70" s="98" t="s">
        <v>136</v>
      </c>
      <c r="C70" s="109"/>
      <c r="D70" s="110"/>
      <c r="E70" s="93"/>
      <c r="F70" s="81"/>
      <c r="G70" s="81"/>
    </row>
    <row r="71" spans="1:7">
      <c r="A71" s="81">
        <v>9.07</v>
      </c>
      <c r="B71" s="98" t="s">
        <v>137</v>
      </c>
      <c r="C71" s="100"/>
      <c r="D71" s="101" t="str">
        <f>IF(C71="yes", IF(OR(C65="?", C66="?", C67="no", C67="?"), "eval.", IF(AND(C65="yes", C66="yes", C67="yes"), "reject", IF(OR(C65="no", C66="no"), "accept", " ")))," ")</f>
        <v xml:space="preserve"> </v>
      </c>
      <c r="E71" s="93"/>
      <c r="F71" s="81"/>
      <c r="G71" s="81"/>
    </row>
    <row r="72" spans="1:7">
      <c r="A72" s="81">
        <v>9.08</v>
      </c>
      <c r="B72" s="98" t="s">
        <v>138</v>
      </c>
      <c r="C72" s="99"/>
      <c r="D72" s="102" t="str">
        <f>IF(C71="yes","STOP",IF(C72="yes",IF(C68="no","accept",IF(AND(C68="yes",OR(C69="yes",C70="yes")),"reject",IF(OR(C68="?",C69="?",C70="?",C69="no",C70="no"),"eval.",""))), ""))</f>
        <v/>
      </c>
      <c r="E72" s="93"/>
      <c r="F72" s="81"/>
      <c r="G72" s="81"/>
    </row>
    <row r="73" spans="1:7" ht="15.95" thickBot="1">
      <c r="A73" s="81">
        <v>9.09</v>
      </c>
      <c r="B73" s="103" t="s">
        <v>139</v>
      </c>
      <c r="C73" s="104"/>
      <c r="D73" s="105" t="str">
        <f>IF(OR(C71="yes",C72="yes"),"STOP",IF(C73="yes",IF(AND(LUT!I26="accept",LUT!I27="accept"),"accept",IF(AND(LUT!I26="eval.",LUT!I27="eval."),"eval.",IF(OR(LUT!I26="reject",LUT!I27="reject"),"reject",""))),""))</f>
        <v/>
      </c>
      <c r="E73" s="93"/>
      <c r="F73" s="81"/>
      <c r="G73" s="81"/>
    </row>
    <row r="74" spans="1:7" ht="15.95" thickBot="1">
      <c r="A74" s="81"/>
      <c r="B74" s="57" t="s">
        <v>140</v>
      </c>
      <c r="C74" s="107" t="str">
        <f>IF(OR(D71="accept", D72="accept", D73="accept"), "Accept", IF(OR(D71="eval.", D72="eval.", D73="eval."), "Evaluate Further", IF(OR(D71="reject", D72="reject",D73="reject"), "Reject", "")))</f>
        <v/>
      </c>
      <c r="D74" s="108"/>
      <c r="E74" s="93"/>
      <c r="F74" s="81"/>
      <c r="G74" s="81"/>
    </row>
    <row r="75" spans="1:7">
      <c r="A75" s="81"/>
      <c r="B75" s="80"/>
      <c r="C75" s="80"/>
      <c r="D75" s="81"/>
      <c r="E75" s="85"/>
      <c r="F75" s="81"/>
      <c r="G75" s="81"/>
    </row>
    <row r="76" spans="1:7">
      <c r="A76" s="81"/>
      <c r="B76" s="80"/>
      <c r="C76" s="80"/>
      <c r="D76" s="81"/>
      <c r="E76" s="85"/>
      <c r="F76" s="81"/>
      <c r="G76" s="81"/>
    </row>
    <row r="77" spans="1:7">
      <c r="A77" s="81"/>
      <c r="B77" s="80"/>
      <c r="C77" s="80"/>
      <c r="D77" s="81"/>
      <c r="E77" s="85"/>
      <c r="F77" s="81"/>
      <c r="G77" s="81"/>
    </row>
    <row r="78" spans="1:7">
      <c r="A78" s="81"/>
      <c r="B78" s="80"/>
      <c r="C78" s="80"/>
      <c r="D78" s="81"/>
      <c r="E78" s="85"/>
      <c r="F78" s="81"/>
      <c r="G78" s="81"/>
    </row>
    <row r="79" spans="1:7">
      <c r="A79" s="81"/>
      <c r="B79" s="80"/>
      <c r="C79" s="80"/>
      <c r="D79" s="81"/>
      <c r="E79" s="85"/>
      <c r="F79" s="81"/>
      <c r="G79" s="81"/>
    </row>
    <row r="80" spans="1:7">
      <c r="A80" s="81"/>
      <c r="B80" s="80"/>
      <c r="C80" s="80"/>
      <c r="D80" s="81"/>
      <c r="E80" s="85"/>
      <c r="F80" s="81"/>
      <c r="G80" s="81"/>
    </row>
    <row r="81" spans="1:7">
      <c r="A81" s="81"/>
      <c r="B81" s="80"/>
      <c r="C81" s="80"/>
      <c r="D81" s="81"/>
      <c r="E81" s="85"/>
      <c r="F81" s="81"/>
      <c r="G81" s="81"/>
    </row>
    <row r="82" spans="1:7">
      <c r="A82" s="81"/>
      <c r="B82" s="80"/>
      <c r="C82" s="80"/>
      <c r="D82" s="81"/>
      <c r="E82" s="85"/>
      <c r="F82" s="81"/>
      <c r="G82" s="81"/>
    </row>
    <row r="83" spans="1:7">
      <c r="A83" s="81"/>
      <c r="B83" s="80"/>
      <c r="C83" s="80"/>
      <c r="D83" s="81"/>
      <c r="E83" s="85"/>
      <c r="F83" s="81"/>
      <c r="G83" s="81"/>
    </row>
    <row r="84" spans="1:7">
      <c r="A84" s="81"/>
      <c r="B84" s="80"/>
      <c r="C84" s="80"/>
      <c r="D84" s="81"/>
      <c r="E84" s="85"/>
      <c r="F84" s="81"/>
      <c r="G84" s="81"/>
    </row>
    <row r="85" spans="1:7">
      <c r="A85" s="81"/>
      <c r="B85" s="80"/>
      <c r="C85" s="80"/>
      <c r="D85" s="81"/>
      <c r="E85" s="85"/>
      <c r="F85" s="81"/>
      <c r="G85" s="81"/>
    </row>
    <row r="86" spans="1:7">
      <c r="A86" s="81"/>
      <c r="B86" s="81"/>
      <c r="C86" s="81"/>
      <c r="D86" s="81"/>
      <c r="E86" s="85"/>
      <c r="F86" s="81"/>
      <c r="G86" s="81"/>
    </row>
    <row r="107" spans="6:6">
      <c r="F107" s="81"/>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hyperlinks>
    <hyperlink ref="G30" r:id="rId1" xr:uid="{EFB9F7FA-4C12-8540-B6D6-D0C3A088B8B6}"/>
    <hyperlink ref="G40" r:id="rId2" xr:uid="{64DF1012-295F-7944-A0B7-DD4063C13B32}"/>
    <hyperlink ref="G25" r:id="rId3" xr:uid="{1280CDEC-7DEA-E943-B8E7-86B83C530EEC}"/>
    <hyperlink ref="G14" r:id="rId4" xr:uid="{9A3C2878-5F9B-1746-9B14-87290D308F06}"/>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defaultColWidth="8.85546875" defaultRowHeight="15"/>
  <cols>
    <col min="1" max="1" width="6.85546875" customWidth="1"/>
    <col min="8" max="8" width="18.28515625" customWidth="1"/>
  </cols>
  <sheetData>
    <row r="1" spans="2:18" ht="15.95" thickBot="1"/>
    <row r="2" spans="2:18" ht="15.95" thickBot="1">
      <c r="B2" t="s">
        <v>141</v>
      </c>
      <c r="H2" s="119" t="s">
        <v>142</v>
      </c>
      <c r="I2" s="120"/>
      <c r="J2" s="120"/>
      <c r="K2" s="120"/>
      <c r="L2" s="120"/>
      <c r="M2" s="120"/>
      <c r="N2" s="120"/>
      <c r="O2" s="120"/>
      <c r="P2" s="120"/>
      <c r="Q2" s="120"/>
      <c r="R2" s="121"/>
    </row>
    <row r="3" spans="2:18">
      <c r="B3" s="1" t="s">
        <v>122</v>
      </c>
      <c r="C3" s="2" t="s">
        <v>4</v>
      </c>
      <c r="D3" s="2" t="s">
        <v>143</v>
      </c>
      <c r="E3" s="3" t="s">
        <v>144</v>
      </c>
      <c r="H3" s="151" t="s">
        <v>145</v>
      </c>
      <c r="I3" s="152"/>
      <c r="J3" s="152"/>
      <c r="K3" s="152"/>
      <c r="L3" s="152"/>
      <c r="M3" s="152"/>
      <c r="N3" s="152"/>
      <c r="O3" s="152"/>
      <c r="P3" s="152"/>
      <c r="Q3" s="152"/>
      <c r="R3" s="153"/>
    </row>
    <row r="4" spans="2:18">
      <c r="B4" s="4" t="s">
        <v>146</v>
      </c>
      <c r="C4">
        <v>1.01</v>
      </c>
      <c r="D4">
        <v>0</v>
      </c>
      <c r="E4" s="5">
        <v>-3</v>
      </c>
      <c r="H4" s="141" t="s">
        <v>147</v>
      </c>
      <c r="I4" s="142"/>
      <c r="J4" s="142"/>
      <c r="K4" s="142"/>
      <c r="L4" s="142"/>
      <c r="M4" s="142"/>
      <c r="N4" s="142"/>
      <c r="O4" s="142"/>
      <c r="P4" s="142"/>
      <c r="Q4" s="142"/>
      <c r="R4" s="16" t="s">
        <v>148</v>
      </c>
    </row>
    <row r="5" spans="2:18">
      <c r="B5" s="4" t="s">
        <v>127</v>
      </c>
      <c r="C5">
        <v>1.02</v>
      </c>
      <c r="D5">
        <v>-1</v>
      </c>
      <c r="E5" s="5">
        <v>1</v>
      </c>
      <c r="H5" s="141" t="s">
        <v>149</v>
      </c>
      <c r="I5" s="10">
        <v>2.0099999999999998</v>
      </c>
      <c r="J5" s="10">
        <v>1</v>
      </c>
      <c r="K5" s="10">
        <v>1</v>
      </c>
      <c r="L5" s="10">
        <v>1</v>
      </c>
      <c r="M5" s="10">
        <v>2</v>
      </c>
      <c r="N5" s="10">
        <v>2</v>
      </c>
      <c r="O5" s="10">
        <v>2</v>
      </c>
      <c r="P5" s="10">
        <v>3</v>
      </c>
      <c r="Q5" s="10">
        <v>3</v>
      </c>
      <c r="R5" s="11">
        <v>3</v>
      </c>
    </row>
    <row r="6" spans="2:18">
      <c r="B6" s="4" t="s">
        <v>127</v>
      </c>
      <c r="C6">
        <v>1.03</v>
      </c>
      <c r="D6">
        <v>-1</v>
      </c>
      <c r="E6" s="5">
        <v>1</v>
      </c>
      <c r="H6" s="141"/>
      <c r="I6" s="10">
        <v>2.02</v>
      </c>
      <c r="J6" s="10">
        <v>1</v>
      </c>
      <c r="K6" s="10">
        <v>2</v>
      </c>
      <c r="L6" s="10">
        <v>3</v>
      </c>
      <c r="M6" s="10">
        <v>1</v>
      </c>
      <c r="N6" s="10">
        <v>2</v>
      </c>
      <c r="O6" s="10">
        <v>3</v>
      </c>
      <c r="P6" s="10">
        <v>1</v>
      </c>
      <c r="Q6" s="10">
        <v>2</v>
      </c>
      <c r="R6" s="11">
        <v>3</v>
      </c>
    </row>
    <row r="7" spans="2:18">
      <c r="B7" s="4"/>
      <c r="C7">
        <v>2.0099999999999998</v>
      </c>
      <c r="D7" s="129" t="s">
        <v>150</v>
      </c>
      <c r="E7" s="130"/>
      <c r="H7" s="124" t="s">
        <v>151</v>
      </c>
      <c r="I7" s="10">
        <v>3.01</v>
      </c>
      <c r="J7" s="10">
        <v>2</v>
      </c>
      <c r="K7" s="10">
        <v>1</v>
      </c>
      <c r="L7" s="10">
        <v>1</v>
      </c>
      <c r="M7" s="10">
        <v>2</v>
      </c>
      <c r="N7" s="10">
        <v>2</v>
      </c>
      <c r="O7" s="10">
        <v>1</v>
      </c>
      <c r="P7" s="10">
        <v>2</v>
      </c>
      <c r="Q7" s="10">
        <v>2</v>
      </c>
      <c r="R7" s="11">
        <v>2</v>
      </c>
    </row>
    <row r="8" spans="2:18">
      <c r="B8" s="4"/>
      <c r="C8">
        <v>2.02</v>
      </c>
      <c r="D8" s="131"/>
      <c r="E8" s="132"/>
      <c r="H8" s="124"/>
      <c r="I8" s="10">
        <v>3.02</v>
      </c>
      <c r="J8" s="10">
        <v>2</v>
      </c>
      <c r="K8" s="10">
        <v>1</v>
      </c>
      <c r="L8" s="10">
        <v>1</v>
      </c>
      <c r="M8" s="10">
        <v>2</v>
      </c>
      <c r="N8" s="10">
        <v>2</v>
      </c>
      <c r="O8" s="10">
        <v>1</v>
      </c>
      <c r="P8" s="10">
        <v>2</v>
      </c>
      <c r="Q8" s="10">
        <v>2</v>
      </c>
      <c r="R8" s="11">
        <v>2</v>
      </c>
    </row>
    <row r="9" spans="2:18">
      <c r="B9" s="4" t="s">
        <v>127</v>
      </c>
      <c r="C9">
        <v>2.0299999999999998</v>
      </c>
      <c r="D9">
        <v>0</v>
      </c>
      <c r="E9" s="5">
        <v>1</v>
      </c>
      <c r="H9" s="124"/>
      <c r="I9" s="10">
        <v>3.03</v>
      </c>
      <c r="J9" s="10">
        <v>4</v>
      </c>
      <c r="K9" s="10">
        <v>2</v>
      </c>
      <c r="L9" s="10">
        <v>1</v>
      </c>
      <c r="M9" s="10">
        <v>4</v>
      </c>
      <c r="N9" s="10">
        <v>3</v>
      </c>
      <c r="O9" s="10">
        <v>2</v>
      </c>
      <c r="P9" s="10">
        <v>4</v>
      </c>
      <c r="Q9" s="10">
        <v>4</v>
      </c>
      <c r="R9" s="11">
        <v>4</v>
      </c>
    </row>
    <row r="10" spans="2:18">
      <c r="B10" s="4" t="s">
        <v>127</v>
      </c>
      <c r="C10">
        <v>2.04</v>
      </c>
      <c r="D10">
        <v>0</v>
      </c>
      <c r="E10" s="5">
        <v>1</v>
      </c>
      <c r="H10" s="124"/>
      <c r="I10" s="10">
        <v>3.04</v>
      </c>
      <c r="J10" s="10">
        <v>4</v>
      </c>
      <c r="K10" s="10">
        <v>2</v>
      </c>
      <c r="L10" s="10">
        <v>1</v>
      </c>
      <c r="M10" s="10">
        <v>4</v>
      </c>
      <c r="N10" s="10">
        <v>3</v>
      </c>
      <c r="O10" s="10">
        <v>2</v>
      </c>
      <c r="P10" s="10">
        <v>4</v>
      </c>
      <c r="Q10" s="10">
        <v>4</v>
      </c>
      <c r="R10" s="11">
        <v>4</v>
      </c>
    </row>
    <row r="11" spans="2:18">
      <c r="B11" s="4"/>
      <c r="C11">
        <v>2.0499999999999998</v>
      </c>
      <c r="E11" s="5"/>
      <c r="H11" s="124"/>
      <c r="I11" s="10">
        <v>3.05</v>
      </c>
      <c r="J11" s="10">
        <v>2</v>
      </c>
      <c r="K11" s="10">
        <v>1</v>
      </c>
      <c r="L11" s="10">
        <v>1</v>
      </c>
      <c r="M11" s="10">
        <v>2</v>
      </c>
      <c r="N11" s="10">
        <v>2</v>
      </c>
      <c r="O11" s="10">
        <v>1</v>
      </c>
      <c r="P11" s="10">
        <v>2</v>
      </c>
      <c r="Q11" s="10">
        <v>2</v>
      </c>
      <c r="R11" s="11">
        <v>2</v>
      </c>
    </row>
    <row r="12" spans="2:18">
      <c r="B12" s="4" t="s">
        <v>127</v>
      </c>
      <c r="C12">
        <v>3.01</v>
      </c>
      <c r="D12" s="133" t="s">
        <v>152</v>
      </c>
      <c r="E12" s="134"/>
      <c r="H12" s="122" t="s">
        <v>153</v>
      </c>
      <c r="I12" s="123"/>
      <c r="J12" s="123"/>
      <c r="K12" s="123"/>
      <c r="L12" s="123"/>
      <c r="M12" s="123"/>
      <c r="N12" s="123"/>
      <c r="O12" s="123"/>
      <c r="P12" s="123"/>
      <c r="Q12" s="123"/>
      <c r="R12" s="126"/>
    </row>
    <row r="13" spans="2:18">
      <c r="B13" s="4" t="s">
        <v>154</v>
      </c>
      <c r="C13">
        <v>3.02</v>
      </c>
      <c r="D13" s="135"/>
      <c r="E13" s="136"/>
      <c r="H13" s="4" t="s">
        <v>155</v>
      </c>
      <c r="I13" s="10">
        <v>2.0499999999999998</v>
      </c>
      <c r="J13" s="10" t="s">
        <v>38</v>
      </c>
      <c r="K13" s="10" t="s">
        <v>156</v>
      </c>
      <c r="L13" s="10" t="s">
        <v>157</v>
      </c>
      <c r="M13" s="123"/>
      <c r="N13" s="123"/>
      <c r="O13" s="123"/>
      <c r="P13" s="123"/>
      <c r="Q13" s="123"/>
      <c r="R13" s="126"/>
    </row>
    <row r="14" spans="2:18">
      <c r="B14" s="4" t="s">
        <v>125</v>
      </c>
      <c r="C14">
        <v>3.03</v>
      </c>
      <c r="D14" s="135"/>
      <c r="E14" s="136"/>
      <c r="H14" s="124" t="s">
        <v>151</v>
      </c>
      <c r="I14" s="10">
        <v>3.01</v>
      </c>
      <c r="J14" s="10">
        <v>-1</v>
      </c>
      <c r="K14" s="10">
        <v>0</v>
      </c>
      <c r="L14" s="10">
        <v>-2</v>
      </c>
      <c r="M14" s="123"/>
      <c r="N14" s="123"/>
      <c r="O14" s="123"/>
      <c r="P14" s="123"/>
      <c r="Q14" s="123"/>
      <c r="R14" s="126"/>
    </row>
    <row r="15" spans="2:18" ht="15.95" thickBot="1">
      <c r="B15" s="4" t="s">
        <v>154</v>
      </c>
      <c r="C15">
        <v>3.04</v>
      </c>
      <c r="D15" s="135"/>
      <c r="E15" s="136"/>
      <c r="H15" s="125"/>
      <c r="I15" s="13" t="s">
        <v>158</v>
      </c>
      <c r="J15" s="13">
        <v>0</v>
      </c>
      <c r="K15" s="13">
        <v>0</v>
      </c>
      <c r="L15" s="13">
        <v>0</v>
      </c>
      <c r="M15" s="127"/>
      <c r="N15" s="127"/>
      <c r="O15" s="127"/>
      <c r="P15" s="127"/>
      <c r="Q15" s="127"/>
      <c r="R15" s="128"/>
    </row>
    <row r="16" spans="2:18">
      <c r="B16" s="4" t="s">
        <v>127</v>
      </c>
      <c r="C16">
        <v>3.05</v>
      </c>
      <c r="D16" s="137"/>
      <c r="E16" s="138"/>
    </row>
    <row r="17" spans="2:11">
      <c r="B17" s="4" t="s">
        <v>159</v>
      </c>
      <c r="C17">
        <v>4.01</v>
      </c>
      <c r="D17">
        <v>0</v>
      </c>
      <c r="E17" s="5">
        <v>1</v>
      </c>
    </row>
    <row r="18" spans="2:11" ht="15.95" thickBot="1">
      <c r="B18" s="4" t="s">
        <v>127</v>
      </c>
      <c r="C18">
        <v>4.0199999999999996</v>
      </c>
      <c r="D18">
        <v>0</v>
      </c>
      <c r="E18" s="5">
        <v>1</v>
      </c>
    </row>
    <row r="19" spans="2:11">
      <c r="B19" s="4" t="s">
        <v>127</v>
      </c>
      <c r="C19">
        <v>4.03</v>
      </c>
      <c r="D19">
        <v>0</v>
      </c>
      <c r="E19" s="5">
        <v>1</v>
      </c>
      <c r="H19" s="119" t="s">
        <v>160</v>
      </c>
      <c r="I19" s="120"/>
      <c r="J19" s="120"/>
      <c r="K19" s="121"/>
    </row>
    <row r="20" spans="2:11">
      <c r="B20" s="4" t="s">
        <v>125</v>
      </c>
      <c r="C20">
        <v>4.04</v>
      </c>
      <c r="D20">
        <v>-1</v>
      </c>
      <c r="E20" s="5">
        <v>1</v>
      </c>
      <c r="H20" s="4" t="s">
        <v>161</v>
      </c>
      <c r="I20" s="12">
        <v>1</v>
      </c>
      <c r="J20" s="12">
        <v>2</v>
      </c>
      <c r="K20" s="9">
        <v>4</v>
      </c>
    </row>
    <row r="21" spans="2:11" ht="15.95" thickBot="1">
      <c r="B21" s="4" t="s">
        <v>127</v>
      </c>
      <c r="C21">
        <v>4.05</v>
      </c>
      <c r="D21">
        <v>0</v>
      </c>
      <c r="E21" s="5">
        <v>1</v>
      </c>
      <c r="H21" s="6" t="s">
        <v>6</v>
      </c>
      <c r="I21" s="14">
        <v>1</v>
      </c>
      <c r="J21" s="14">
        <v>0</v>
      </c>
      <c r="K21" s="15">
        <v>-1</v>
      </c>
    </row>
    <row r="22" spans="2:11">
      <c r="B22" s="4" t="s">
        <v>127</v>
      </c>
      <c r="C22">
        <v>4.0599999999999996</v>
      </c>
      <c r="D22">
        <v>0</v>
      </c>
      <c r="E22" s="5">
        <v>1</v>
      </c>
    </row>
    <row r="23" spans="2:11">
      <c r="B23" s="4" t="s">
        <v>127</v>
      </c>
      <c r="C23">
        <v>4.07</v>
      </c>
      <c r="D23">
        <v>0</v>
      </c>
      <c r="E23" s="5">
        <v>1</v>
      </c>
    </row>
    <row r="24" spans="2:11" ht="15.95" thickBot="1">
      <c r="B24" s="4" t="s">
        <v>154</v>
      </c>
      <c r="C24">
        <v>4.08</v>
      </c>
      <c r="D24">
        <v>0</v>
      </c>
      <c r="E24" s="5">
        <v>1</v>
      </c>
    </row>
    <row r="25" spans="2:11">
      <c r="B25" s="4" t="s">
        <v>154</v>
      </c>
      <c r="C25">
        <v>4.09</v>
      </c>
      <c r="D25">
        <v>0</v>
      </c>
      <c r="E25" s="5">
        <v>1</v>
      </c>
      <c r="H25" s="143" t="s">
        <v>162</v>
      </c>
      <c r="I25" s="144"/>
      <c r="J25" s="144"/>
      <c r="K25" s="145"/>
    </row>
    <row r="26" spans="2:11">
      <c r="B26" s="4" t="s">
        <v>154</v>
      </c>
      <c r="C26">
        <v>4.0999999999999996</v>
      </c>
      <c r="D26">
        <v>0</v>
      </c>
      <c r="E26" s="5">
        <v>1</v>
      </c>
      <c r="H26" s="73" t="s">
        <v>163</v>
      </c>
      <c r="I26" s="154" t="str">
        <f>IF(OR('WRA Worksheet'!C65="?",'WRA Worksheet'!C66="?",'WRA Worksheet'!C67="?",'WRA Worksheet'!C67="no"),"eval.",IF(AND('WRA Worksheet'!C65="yes",'WRA Worksheet'!C66="yes",'WRA Worksheet'!C67="yes"),"reject",IF(OR('WRA Worksheet'!C65="no",'WRA Worksheet'!C66="no"),"accept","")))</f>
        <v/>
      </c>
      <c r="J26" s="154"/>
      <c r="K26" s="155"/>
    </row>
    <row r="27" spans="2:11" ht="15.95" thickBot="1">
      <c r="B27" s="4" t="s">
        <v>154</v>
      </c>
      <c r="C27">
        <v>4.1100000000000003</v>
      </c>
      <c r="D27">
        <v>0</v>
      </c>
      <c r="E27" s="5">
        <v>1</v>
      </c>
      <c r="H27" s="74" t="s">
        <v>164</v>
      </c>
      <c r="I27" s="156" t="str">
        <f>IF('WRA Worksheet'!C68="no","accept",IF(AND('WRA Worksheet'!C68="yes",OR('WRA Worksheet'!C69="yes",'WRA Worksheet'!C70="yes")),"reject",IF(OR('WRA Worksheet'!C68="?",'WRA Worksheet'!C69="?",'WRA Worksheet'!C70="?",'WRA Worksheet'!C69="no",'WRA Worksheet'!C70="no"),"eval.","")))</f>
        <v/>
      </c>
      <c r="J27" s="156"/>
      <c r="K27" s="157"/>
    </row>
    <row r="28" spans="2:11">
      <c r="B28" s="4" t="s">
        <v>127</v>
      </c>
      <c r="C28">
        <v>4.12</v>
      </c>
      <c r="D28">
        <v>0</v>
      </c>
      <c r="E28" s="5">
        <v>1</v>
      </c>
    </row>
    <row r="29" spans="2:11">
      <c r="B29" s="4" t="s">
        <v>165</v>
      </c>
      <c r="C29">
        <v>5.01</v>
      </c>
      <c r="D29">
        <v>0</v>
      </c>
      <c r="E29" s="5">
        <v>5</v>
      </c>
    </row>
    <row r="30" spans="2:11">
      <c r="B30" s="4" t="s">
        <v>127</v>
      </c>
      <c r="C30">
        <v>5.0199999999999996</v>
      </c>
      <c r="D30">
        <v>0</v>
      </c>
      <c r="E30" s="5">
        <v>1</v>
      </c>
    </row>
    <row r="31" spans="2:11">
      <c r="B31" s="4" t="s">
        <v>154</v>
      </c>
      <c r="C31">
        <v>5.03</v>
      </c>
      <c r="D31">
        <v>0</v>
      </c>
      <c r="E31" s="5">
        <v>1</v>
      </c>
    </row>
    <row r="32" spans="2:11">
      <c r="B32" s="4" t="s">
        <v>127</v>
      </c>
      <c r="C32">
        <v>5.04</v>
      </c>
      <c r="D32">
        <v>0</v>
      </c>
      <c r="E32" s="5">
        <v>1</v>
      </c>
    </row>
    <row r="33" spans="2:5">
      <c r="B33" s="4" t="s">
        <v>127</v>
      </c>
      <c r="C33">
        <v>6.01</v>
      </c>
      <c r="D33">
        <v>0</v>
      </c>
      <c r="E33" s="5">
        <v>1</v>
      </c>
    </row>
    <row r="34" spans="2:5">
      <c r="B34" s="4" t="s">
        <v>127</v>
      </c>
      <c r="C34">
        <v>6.02</v>
      </c>
      <c r="D34">
        <v>-1</v>
      </c>
      <c r="E34" s="5">
        <v>1</v>
      </c>
    </row>
    <row r="35" spans="2:5">
      <c r="B35" s="4" t="s">
        <v>125</v>
      </c>
      <c r="C35">
        <v>6.03</v>
      </c>
      <c r="D35">
        <v>-1</v>
      </c>
      <c r="E35" s="5">
        <v>1</v>
      </c>
    </row>
    <row r="36" spans="2:5">
      <c r="B36" s="4" t="s">
        <v>127</v>
      </c>
      <c r="C36">
        <v>6.04</v>
      </c>
      <c r="D36">
        <v>-1</v>
      </c>
      <c r="E36" s="5">
        <v>1</v>
      </c>
    </row>
    <row r="37" spans="2:5">
      <c r="B37" s="4" t="s">
        <v>127</v>
      </c>
      <c r="C37">
        <v>6.05</v>
      </c>
      <c r="D37">
        <v>0</v>
      </c>
      <c r="E37" s="5">
        <v>-1</v>
      </c>
    </row>
    <row r="38" spans="2:5">
      <c r="B38" s="4" t="s">
        <v>125</v>
      </c>
      <c r="C38">
        <v>6.06</v>
      </c>
      <c r="D38">
        <v>-1</v>
      </c>
      <c r="E38" s="5">
        <v>1</v>
      </c>
    </row>
    <row r="39" spans="2:5">
      <c r="B39" s="4" t="s">
        <v>127</v>
      </c>
      <c r="C39">
        <v>6.07</v>
      </c>
      <c r="D39" s="139" t="s">
        <v>166</v>
      </c>
      <c r="E39" s="140"/>
    </row>
    <row r="40" spans="2:5">
      <c r="B40" s="4" t="s">
        <v>125</v>
      </c>
      <c r="C40">
        <v>7.01</v>
      </c>
      <c r="D40">
        <v>-1</v>
      </c>
      <c r="E40" s="5">
        <v>1</v>
      </c>
    </row>
    <row r="41" spans="2:5">
      <c r="B41" s="4" t="s">
        <v>127</v>
      </c>
      <c r="C41">
        <v>7.02</v>
      </c>
      <c r="D41">
        <v>-1</v>
      </c>
      <c r="E41" s="5">
        <v>1</v>
      </c>
    </row>
    <row r="42" spans="2:5">
      <c r="B42" s="4" t="s">
        <v>125</v>
      </c>
      <c r="C42">
        <v>7.03</v>
      </c>
      <c r="D42">
        <v>-1</v>
      </c>
      <c r="E42" s="5">
        <v>1</v>
      </c>
    </row>
    <row r="43" spans="2:5">
      <c r="B43" s="4" t="s">
        <v>127</v>
      </c>
      <c r="C43">
        <v>7.04</v>
      </c>
      <c r="D43">
        <v>-1</v>
      </c>
      <c r="E43" s="5">
        <v>1</v>
      </c>
    </row>
    <row r="44" spans="2:5">
      <c r="B44" s="4" t="s">
        <v>154</v>
      </c>
      <c r="C44">
        <v>7.05</v>
      </c>
      <c r="D44">
        <v>-1</v>
      </c>
      <c r="E44" s="5">
        <v>1</v>
      </c>
    </row>
    <row r="45" spans="2:5">
      <c r="B45" s="4" t="s">
        <v>154</v>
      </c>
      <c r="C45">
        <v>7.06</v>
      </c>
      <c r="D45">
        <v>-1</v>
      </c>
      <c r="E45" s="5">
        <v>1</v>
      </c>
    </row>
    <row r="46" spans="2:5">
      <c r="B46" s="4" t="s">
        <v>127</v>
      </c>
      <c r="C46">
        <v>7.07</v>
      </c>
      <c r="D46">
        <v>-1</v>
      </c>
      <c r="E46" s="5">
        <v>1</v>
      </c>
    </row>
    <row r="47" spans="2:5">
      <c r="B47" s="4" t="s">
        <v>127</v>
      </c>
      <c r="C47">
        <v>7.08</v>
      </c>
      <c r="D47">
        <v>-1</v>
      </c>
      <c r="E47" s="5">
        <v>1</v>
      </c>
    </row>
    <row r="48" spans="2:5">
      <c r="B48" s="4" t="s">
        <v>127</v>
      </c>
      <c r="C48">
        <v>8.01</v>
      </c>
      <c r="D48">
        <v>-1</v>
      </c>
      <c r="E48" s="5">
        <v>1</v>
      </c>
    </row>
    <row r="49" spans="2:5">
      <c r="B49" s="4" t="s">
        <v>127</v>
      </c>
      <c r="C49">
        <v>8.02</v>
      </c>
      <c r="D49">
        <v>-1</v>
      </c>
      <c r="E49" s="5">
        <v>1</v>
      </c>
    </row>
    <row r="50" spans="2:5">
      <c r="B50" s="4" t="s">
        <v>125</v>
      </c>
      <c r="C50">
        <v>8.0299999999999994</v>
      </c>
      <c r="D50">
        <v>1</v>
      </c>
      <c r="E50" s="5">
        <v>-1</v>
      </c>
    </row>
    <row r="51" spans="2:5">
      <c r="B51" s="4" t="s">
        <v>125</v>
      </c>
      <c r="C51">
        <v>8.0399999999999991</v>
      </c>
      <c r="D51">
        <v>-1</v>
      </c>
      <c r="E51" s="5">
        <v>1</v>
      </c>
    </row>
    <row r="52" spans="2:5">
      <c r="B52" s="4" t="s">
        <v>127</v>
      </c>
      <c r="C52">
        <v>8.0500000000000007</v>
      </c>
      <c r="D52">
        <v>1</v>
      </c>
      <c r="E52" s="5">
        <v>-1</v>
      </c>
    </row>
    <row r="53" spans="2:5">
      <c r="B53" s="4"/>
      <c r="E53" s="5"/>
    </row>
    <row r="54" spans="2:5" ht="15.95" thickBot="1">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D7:E8"/>
    <mergeCell ref="D12:E16"/>
    <mergeCell ref="D39:E39"/>
    <mergeCell ref="H3:R3"/>
    <mergeCell ref="H4:Q4"/>
    <mergeCell ref="H5:H6"/>
    <mergeCell ref="H7:H11"/>
    <mergeCell ref="H25:K25"/>
    <mergeCell ref="I26:K26"/>
    <mergeCell ref="I27:K27"/>
    <mergeCell ref="H2:R2"/>
    <mergeCell ref="H12:L12"/>
    <mergeCell ref="H14:H15"/>
    <mergeCell ref="M12:R15"/>
    <mergeCell ref="H19:K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defaultColWidth="8.85546875" defaultRowHeight="15"/>
  <cols>
    <col min="1" max="1" width="7.140625" customWidth="1"/>
    <col min="2" max="2" width="64.42578125" customWidth="1"/>
  </cols>
  <sheetData>
    <row r="1" spans="1:4" ht="109.5" customHeight="1">
      <c r="A1" s="149" t="str">
        <f>'WRA Worksheet'!F1</f>
        <v>Assessment date: 11 June 2025 Prepared by Cameron Deelstra</v>
      </c>
      <c r="B1" s="150"/>
      <c r="C1" s="150"/>
      <c r="D1" s="75" t="s">
        <v>167</v>
      </c>
    </row>
    <row r="2" spans="1:4" ht="18.95">
      <c r="A2" s="146" t="s">
        <v>168</v>
      </c>
      <c r="B2" s="147"/>
      <c r="C2" s="58" t="s">
        <v>5</v>
      </c>
      <c r="D2" s="58" t="s">
        <v>6</v>
      </c>
    </row>
    <row r="3" spans="1:4" ht="15.95">
      <c r="A3" s="59">
        <v>1.01</v>
      </c>
      <c r="B3" s="60" t="s">
        <v>10</v>
      </c>
      <c r="C3" s="61" t="str">
        <f>'WRA Worksheet'!C3</f>
        <v>n</v>
      </c>
      <c r="D3" s="67">
        <f>'WRA Worksheet'!D3</f>
        <v>0</v>
      </c>
    </row>
    <row r="4" spans="1:4" ht="15.95">
      <c r="A4" s="59">
        <v>1.02</v>
      </c>
      <c r="B4" s="60" t="s">
        <v>12</v>
      </c>
      <c r="C4" s="61">
        <f>'WRA Worksheet'!C4</f>
        <v>0</v>
      </c>
      <c r="D4" s="67" t="str">
        <f>'WRA Worksheet'!D4</f>
        <v xml:space="preserve"> </v>
      </c>
    </row>
    <row r="5" spans="1:4" ht="15.95">
      <c r="A5" s="59">
        <v>1.03</v>
      </c>
      <c r="B5" s="60" t="s">
        <v>13</v>
      </c>
      <c r="C5" s="61">
        <f>'WRA Worksheet'!C5</f>
        <v>0</v>
      </c>
      <c r="D5" s="67" t="str">
        <f>'WRA Worksheet'!D5</f>
        <v xml:space="preserve"> </v>
      </c>
    </row>
    <row r="6" spans="1:4" ht="51.95">
      <c r="A6" s="59">
        <v>2.0099999999999998</v>
      </c>
      <c r="B6" s="62" t="s">
        <v>169</v>
      </c>
      <c r="C6" s="61">
        <f>'WRA Worksheet'!C6</f>
        <v>3</v>
      </c>
      <c r="D6" s="68"/>
    </row>
    <row r="7" spans="1:4" ht="15.95">
      <c r="A7" s="59">
        <v>2.02</v>
      </c>
      <c r="B7" s="60" t="s">
        <v>170</v>
      </c>
      <c r="C7" s="61">
        <f>'WRA Worksheet'!C7</f>
        <v>3</v>
      </c>
      <c r="D7" s="68"/>
    </row>
    <row r="8" spans="1:4" ht="15.95">
      <c r="A8" s="59">
        <v>2.0299999999999998</v>
      </c>
      <c r="B8" s="60" t="s">
        <v>19</v>
      </c>
      <c r="C8" s="61" t="str">
        <f>'WRA Worksheet'!C8</f>
        <v>y</v>
      </c>
      <c r="D8" s="67">
        <f>'WRA Worksheet'!D8</f>
        <v>1</v>
      </c>
    </row>
    <row r="9" spans="1:4" ht="51.95">
      <c r="A9" s="59">
        <v>2.04</v>
      </c>
      <c r="B9" s="63" t="s">
        <v>23</v>
      </c>
      <c r="C9" s="61" t="str">
        <f>'WRA Worksheet'!C9</f>
        <v>y</v>
      </c>
      <c r="D9" s="67">
        <f>'WRA Worksheet'!D9</f>
        <v>1</v>
      </c>
    </row>
    <row r="10" spans="1:4" ht="32.1">
      <c r="A10" s="59">
        <v>2.0499999999999998</v>
      </c>
      <c r="B10" s="60" t="s">
        <v>26</v>
      </c>
      <c r="C10" s="64" t="str">
        <f>'WRA Worksheet'!C10</f>
        <v>y</v>
      </c>
      <c r="D10" s="68"/>
    </row>
    <row r="11" spans="1:4" ht="15.95">
      <c r="A11" s="59">
        <v>3.01</v>
      </c>
      <c r="B11" s="60" t="s">
        <v>29</v>
      </c>
      <c r="C11" s="61" t="str">
        <f>'WRA Worksheet'!C11</f>
        <v>y</v>
      </c>
      <c r="D11" s="67">
        <f>'WRA Worksheet'!D11</f>
        <v>2</v>
      </c>
    </row>
    <row r="12" spans="1:4" ht="15.95">
      <c r="A12" s="59">
        <v>3.02</v>
      </c>
      <c r="B12" s="60" t="s">
        <v>31</v>
      </c>
      <c r="C12" s="61" t="str">
        <f>'WRA Worksheet'!C12</f>
        <v>y</v>
      </c>
      <c r="D12" s="67">
        <f>'WRA Worksheet'!D12</f>
        <v>2</v>
      </c>
    </row>
    <row r="13" spans="1:4" ht="15.95">
      <c r="A13" s="59">
        <v>3.03</v>
      </c>
      <c r="B13" s="60" t="s">
        <v>34</v>
      </c>
      <c r="C13" s="61" t="str">
        <f>'WRA Worksheet'!C13</f>
        <v>y</v>
      </c>
      <c r="D13" s="67">
        <f>'WRA Worksheet'!D13</f>
        <v>4</v>
      </c>
    </row>
    <row r="14" spans="1:4" ht="15.95">
      <c r="A14" s="59">
        <v>3.04</v>
      </c>
      <c r="B14" s="60" t="s">
        <v>37</v>
      </c>
      <c r="C14" s="61" t="str">
        <f>'WRA Worksheet'!C14</f>
        <v>?</v>
      </c>
      <c r="D14" s="67" t="str">
        <f>'WRA Worksheet'!D14</f>
        <v/>
      </c>
    </row>
    <row r="15" spans="1:4" ht="15.95">
      <c r="A15" s="59">
        <v>3.05</v>
      </c>
      <c r="B15" s="60" t="s">
        <v>41</v>
      </c>
      <c r="C15" s="61" t="str">
        <f>'WRA Worksheet'!C15</f>
        <v>y</v>
      </c>
      <c r="D15" s="67">
        <f>'WRA Worksheet'!D15</f>
        <v>2</v>
      </c>
    </row>
    <row r="16" spans="1:4" ht="15.95">
      <c r="A16" s="59">
        <v>4.01</v>
      </c>
      <c r="B16" s="60" t="s">
        <v>43</v>
      </c>
      <c r="C16" s="61" t="str">
        <f>'WRA Worksheet'!C16</f>
        <v>n</v>
      </c>
      <c r="D16" s="67">
        <f>'WRA Worksheet'!D16</f>
        <v>0</v>
      </c>
    </row>
    <row r="17" spans="1:4" ht="15.95">
      <c r="A17" s="59">
        <v>4.0199999999999996</v>
      </c>
      <c r="B17" s="60" t="s">
        <v>45</v>
      </c>
      <c r="C17" s="61" t="str">
        <f>'WRA Worksheet'!C17</f>
        <v>?</v>
      </c>
      <c r="D17" s="67" t="str">
        <f>'WRA Worksheet'!D17</f>
        <v xml:space="preserve"> </v>
      </c>
    </row>
    <row r="18" spans="1:4" ht="15.95">
      <c r="A18" s="59">
        <v>4.03</v>
      </c>
      <c r="B18" s="60" t="s">
        <v>48</v>
      </c>
      <c r="C18" s="61" t="str">
        <f>'WRA Worksheet'!C18</f>
        <v>n</v>
      </c>
      <c r="D18" s="67">
        <f>'WRA Worksheet'!D18</f>
        <v>0</v>
      </c>
    </row>
    <row r="19" spans="1:4" ht="15.95">
      <c r="A19" s="59">
        <v>4.04</v>
      </c>
      <c r="B19" s="60" t="s">
        <v>49</v>
      </c>
      <c r="C19" s="61" t="str">
        <f>'WRA Worksheet'!C19</f>
        <v>?</v>
      </c>
      <c r="D19" s="67" t="str">
        <f>'WRA Worksheet'!D19</f>
        <v xml:space="preserve"> </v>
      </c>
    </row>
    <row r="20" spans="1:4" ht="15.95">
      <c r="A20" s="59">
        <v>4.05</v>
      </c>
      <c r="B20" s="60" t="s">
        <v>51</v>
      </c>
      <c r="C20" s="61" t="str">
        <f>'WRA Worksheet'!C20</f>
        <v>?</v>
      </c>
      <c r="D20" s="67" t="str">
        <f>'WRA Worksheet'!D20</f>
        <v xml:space="preserve"> </v>
      </c>
    </row>
    <row r="21" spans="1:4" ht="15.95">
      <c r="A21" s="59">
        <v>4.0599999999999996</v>
      </c>
      <c r="B21" s="60" t="s">
        <v>54</v>
      </c>
      <c r="C21" s="61" t="str">
        <f>'WRA Worksheet'!C21</f>
        <v>n</v>
      </c>
      <c r="D21" s="67">
        <f>'WRA Worksheet'!D21</f>
        <v>0</v>
      </c>
    </row>
    <row r="22" spans="1:4" ht="15.95">
      <c r="A22" s="59">
        <v>4.07</v>
      </c>
      <c r="B22" s="60" t="s">
        <v>55</v>
      </c>
      <c r="C22" s="61" t="str">
        <f>'WRA Worksheet'!C22</f>
        <v>n</v>
      </c>
      <c r="D22" s="67">
        <f>'WRA Worksheet'!D22</f>
        <v>0</v>
      </c>
    </row>
    <row r="23" spans="1:4" ht="15.95">
      <c r="A23" s="59">
        <v>4.08</v>
      </c>
      <c r="B23" s="60" t="s">
        <v>56</v>
      </c>
      <c r="C23" s="61" t="str">
        <f>'WRA Worksheet'!C23</f>
        <v>n</v>
      </c>
      <c r="D23" s="67">
        <f>'WRA Worksheet'!D23</f>
        <v>0</v>
      </c>
    </row>
    <row r="24" spans="1:4" ht="15.95">
      <c r="A24" s="59">
        <v>4.09</v>
      </c>
      <c r="B24" s="60" t="s">
        <v>58</v>
      </c>
      <c r="C24" s="61" t="str">
        <f>'WRA Worksheet'!C24</f>
        <v>n</v>
      </c>
      <c r="D24" s="67">
        <f>'WRA Worksheet'!D24</f>
        <v>0</v>
      </c>
    </row>
    <row r="25" spans="1:4" ht="32.1">
      <c r="A25" s="59">
        <v>4.0999999999999996</v>
      </c>
      <c r="B25" s="65" t="s">
        <v>60</v>
      </c>
      <c r="C25" s="61" t="str">
        <f>'WRA Worksheet'!C25</f>
        <v>?</v>
      </c>
      <c r="D25" s="67" t="str">
        <f>'WRA Worksheet'!D25</f>
        <v xml:space="preserve"> </v>
      </c>
    </row>
    <row r="26" spans="1:4" ht="15.95">
      <c r="A26" s="59">
        <v>4.1100000000000003</v>
      </c>
      <c r="B26" s="60" t="s">
        <v>63</v>
      </c>
      <c r="C26" s="61" t="str">
        <f>'WRA Worksheet'!C26</f>
        <v>n</v>
      </c>
      <c r="D26" s="67">
        <f>'WRA Worksheet'!D26</f>
        <v>0</v>
      </c>
    </row>
    <row r="27" spans="1:4" ht="15.95">
      <c r="A27" s="59">
        <v>4.12</v>
      </c>
      <c r="B27" s="60" t="s">
        <v>64</v>
      </c>
      <c r="C27" s="61" t="str">
        <f>'WRA Worksheet'!C27</f>
        <v>n</v>
      </c>
      <c r="D27" s="67">
        <f>'WRA Worksheet'!D27</f>
        <v>0</v>
      </c>
    </row>
    <row r="28" spans="1:4" ht="15.95">
      <c r="A28" s="59">
        <v>5.01</v>
      </c>
      <c r="B28" s="60" t="s">
        <v>66</v>
      </c>
      <c r="C28" s="61" t="str">
        <f>'WRA Worksheet'!C28</f>
        <v>y</v>
      </c>
      <c r="D28" s="67">
        <f>'WRA Worksheet'!D28</f>
        <v>5</v>
      </c>
    </row>
    <row r="29" spans="1:4" ht="15.95">
      <c r="A29" s="59">
        <v>5.0199999999999996</v>
      </c>
      <c r="B29" s="60" t="s">
        <v>68</v>
      </c>
      <c r="C29" s="61" t="str">
        <f>'WRA Worksheet'!C29</f>
        <v>n</v>
      </c>
      <c r="D29" s="67">
        <f>'WRA Worksheet'!D29</f>
        <v>0</v>
      </c>
    </row>
    <row r="30" spans="1:4" ht="15.95">
      <c r="A30" s="59">
        <v>5.03</v>
      </c>
      <c r="B30" s="60" t="s">
        <v>70</v>
      </c>
      <c r="C30" s="61" t="str">
        <f>'WRA Worksheet'!C30</f>
        <v>n</v>
      </c>
      <c r="D30" s="67">
        <f>'WRA Worksheet'!D30</f>
        <v>0</v>
      </c>
    </row>
    <row r="31" spans="1:4" ht="15.95">
      <c r="A31" s="59">
        <v>5.04</v>
      </c>
      <c r="B31" s="60" t="s">
        <v>73</v>
      </c>
      <c r="C31" s="61" t="str">
        <f>'WRA Worksheet'!C31</f>
        <v>n</v>
      </c>
      <c r="D31" s="67">
        <f>'WRA Worksheet'!D31</f>
        <v>0</v>
      </c>
    </row>
    <row r="32" spans="1:4" ht="15.95">
      <c r="A32" s="59">
        <v>6.01</v>
      </c>
      <c r="B32" s="60" t="s">
        <v>75</v>
      </c>
      <c r="C32" s="61" t="str">
        <f>'WRA Worksheet'!C32</f>
        <v>n</v>
      </c>
      <c r="D32" s="67">
        <f>'WRA Worksheet'!D32</f>
        <v>0</v>
      </c>
    </row>
    <row r="33" spans="1:4" ht="15.95">
      <c r="A33" s="59">
        <v>6.02</v>
      </c>
      <c r="B33" s="60" t="s">
        <v>77</v>
      </c>
      <c r="C33" s="61" t="str">
        <f>'WRA Worksheet'!C33</f>
        <v>y</v>
      </c>
      <c r="D33" s="67">
        <f>'WRA Worksheet'!D33</f>
        <v>1</v>
      </c>
    </row>
    <row r="34" spans="1:4" ht="15.95">
      <c r="A34" s="59">
        <v>6.03</v>
      </c>
      <c r="B34" s="60" t="s">
        <v>79</v>
      </c>
      <c r="C34" s="61" t="str">
        <f>'WRA Worksheet'!C34</f>
        <v>n</v>
      </c>
      <c r="D34" s="67">
        <f>'WRA Worksheet'!D34</f>
        <v>-1</v>
      </c>
    </row>
    <row r="35" spans="1:4" ht="15.95">
      <c r="A35" s="59">
        <v>6.04</v>
      </c>
      <c r="B35" s="60" t="s">
        <v>82</v>
      </c>
      <c r="C35" s="61" t="str">
        <f>'WRA Worksheet'!C35</f>
        <v>?</v>
      </c>
      <c r="D35" s="67" t="str">
        <f>'WRA Worksheet'!D35</f>
        <v xml:space="preserve"> </v>
      </c>
    </row>
    <row r="36" spans="1:4" ht="15.95">
      <c r="A36" s="59">
        <v>6.05</v>
      </c>
      <c r="B36" s="60" t="s">
        <v>85</v>
      </c>
      <c r="C36" s="61" t="str">
        <f>'WRA Worksheet'!C36</f>
        <v>n</v>
      </c>
      <c r="D36" s="67">
        <f>'WRA Worksheet'!D36</f>
        <v>0</v>
      </c>
    </row>
    <row r="37" spans="1:4" ht="15.95">
      <c r="A37" s="59">
        <v>6.06</v>
      </c>
      <c r="B37" s="60" t="s">
        <v>87</v>
      </c>
      <c r="C37" s="61" t="str">
        <f>'WRA Worksheet'!C37</f>
        <v>y</v>
      </c>
      <c r="D37" s="67">
        <f>'WRA Worksheet'!D37</f>
        <v>1</v>
      </c>
    </row>
    <row r="38" spans="1:4" ht="15.95">
      <c r="A38" s="59">
        <v>6.07</v>
      </c>
      <c r="B38" s="60" t="s">
        <v>89</v>
      </c>
      <c r="C38" s="66" t="str">
        <f>'WRA Worksheet'!C38</f>
        <v>?</v>
      </c>
      <c r="D38" s="67" t="str">
        <f>'WRA Worksheet'!D38</f>
        <v xml:space="preserve"> </v>
      </c>
    </row>
    <row r="39" spans="1:4" ht="32.1">
      <c r="A39" s="59">
        <v>7.01</v>
      </c>
      <c r="B39" s="60" t="s">
        <v>91</v>
      </c>
      <c r="C39" s="61" t="str">
        <f>'WRA Worksheet'!C39</f>
        <v>y</v>
      </c>
      <c r="D39" s="67">
        <f>'WRA Worksheet'!D39</f>
        <v>1</v>
      </c>
    </row>
    <row r="40" spans="1:4" ht="15.95">
      <c r="A40" s="59">
        <v>7.02</v>
      </c>
      <c r="B40" s="60" t="s">
        <v>93</v>
      </c>
      <c r="C40" s="61" t="str">
        <f>'WRA Worksheet'!C40</f>
        <v>y</v>
      </c>
      <c r="D40" s="67">
        <f>'WRA Worksheet'!D40</f>
        <v>1</v>
      </c>
    </row>
    <row r="41" spans="1:4" ht="15.95">
      <c r="A41" s="59">
        <v>7.03</v>
      </c>
      <c r="B41" s="60" t="s">
        <v>96</v>
      </c>
      <c r="C41" s="61" t="str">
        <f>'WRA Worksheet'!C41</f>
        <v>?</v>
      </c>
      <c r="D41" s="67" t="str">
        <f>'WRA Worksheet'!D41</f>
        <v xml:space="preserve"> </v>
      </c>
    </row>
    <row r="42" spans="1:4" ht="15.95">
      <c r="A42" s="59">
        <v>7.04</v>
      </c>
      <c r="B42" s="60" t="s">
        <v>98</v>
      </c>
      <c r="C42" s="61" t="str">
        <f>'WRA Worksheet'!C42</f>
        <v>?</v>
      </c>
      <c r="D42" s="67" t="str">
        <f>'WRA Worksheet'!D42</f>
        <v xml:space="preserve"> </v>
      </c>
    </row>
    <row r="43" spans="1:4" ht="15.95">
      <c r="A43" s="59">
        <v>7.05</v>
      </c>
      <c r="B43" s="60" t="s">
        <v>101</v>
      </c>
      <c r="C43" s="61" t="str">
        <f>'WRA Worksheet'!C43</f>
        <v>?</v>
      </c>
      <c r="D43" s="67" t="str">
        <f>'WRA Worksheet'!D43</f>
        <v xml:space="preserve"> </v>
      </c>
    </row>
    <row r="44" spans="1:4" ht="15.95">
      <c r="A44" s="59">
        <v>7.06</v>
      </c>
      <c r="B44" s="60" t="s">
        <v>103</v>
      </c>
      <c r="C44" s="61" t="str">
        <f>'WRA Worksheet'!C44</f>
        <v>y</v>
      </c>
      <c r="D44" s="67">
        <f>'WRA Worksheet'!D44</f>
        <v>1</v>
      </c>
    </row>
    <row r="45" spans="1:4" ht="15.95">
      <c r="A45" s="59">
        <v>7.07</v>
      </c>
      <c r="B45" s="60" t="s">
        <v>106</v>
      </c>
      <c r="C45" s="61" t="str">
        <f>'WRA Worksheet'!C45</f>
        <v>n</v>
      </c>
      <c r="D45" s="67">
        <f>'WRA Worksheet'!D45</f>
        <v>-1</v>
      </c>
    </row>
    <row r="46" spans="1:4" ht="15.95">
      <c r="A46" s="59">
        <v>7.08</v>
      </c>
      <c r="B46" s="60" t="s">
        <v>107</v>
      </c>
      <c r="C46" s="61" t="str">
        <f>'WRA Worksheet'!C46</f>
        <v>?</v>
      </c>
      <c r="D46" s="67" t="str">
        <f>'WRA Worksheet'!D46</f>
        <v xml:space="preserve"> </v>
      </c>
    </row>
    <row r="47" spans="1:4" ht="15.95">
      <c r="A47" s="59">
        <v>8.01</v>
      </c>
      <c r="B47" s="60" t="s">
        <v>108</v>
      </c>
      <c r="C47" s="61" t="str">
        <f>'WRA Worksheet'!C47</f>
        <v>y</v>
      </c>
      <c r="D47" s="67">
        <f>'WRA Worksheet'!D47</f>
        <v>1</v>
      </c>
    </row>
    <row r="48" spans="1:4" ht="15.95">
      <c r="A48" s="59">
        <v>8.02</v>
      </c>
      <c r="B48" s="60" t="s">
        <v>110</v>
      </c>
      <c r="C48" s="61" t="str">
        <f>'WRA Worksheet'!C48</f>
        <v>?</v>
      </c>
      <c r="D48" s="67" t="str">
        <f>'WRA Worksheet'!D48</f>
        <v xml:space="preserve"> </v>
      </c>
    </row>
    <row r="49" spans="1:4" ht="15.95">
      <c r="A49" s="59">
        <v>8.0299999999999994</v>
      </c>
      <c r="B49" s="60" t="s">
        <v>112</v>
      </c>
      <c r="C49" s="61" t="str">
        <f>'WRA Worksheet'!C49</f>
        <v>y</v>
      </c>
      <c r="D49" s="67">
        <f>'WRA Worksheet'!D49</f>
        <v>-1</v>
      </c>
    </row>
    <row r="50" spans="1:4" ht="15.95">
      <c r="A50" s="59">
        <v>8.0399999999999991</v>
      </c>
      <c r="B50" s="60" t="s">
        <v>115</v>
      </c>
      <c r="C50" s="61" t="str">
        <f>'WRA Worksheet'!C50</f>
        <v>?</v>
      </c>
      <c r="D50" s="67" t="str">
        <f>'WRA Worksheet'!D50</f>
        <v xml:space="preserve"> </v>
      </c>
    </row>
    <row r="51" spans="1:4" ht="15.95">
      <c r="A51" s="59">
        <v>8.0500000000000007</v>
      </c>
      <c r="B51" s="53" t="s">
        <v>117</v>
      </c>
      <c r="C51" s="61" t="str">
        <f>'WRA Worksheet'!C51</f>
        <v>n</v>
      </c>
      <c r="D51" s="67">
        <f>'WRA Worksheet'!D51</f>
        <v>1</v>
      </c>
    </row>
    <row r="52" spans="1:4" ht="15.95">
      <c r="A52" s="27"/>
      <c r="B52" s="28" t="s">
        <v>120</v>
      </c>
      <c r="C52" s="148">
        <f>'WRA Worksheet'!D53</f>
        <v>21</v>
      </c>
      <c r="D52" s="148"/>
    </row>
    <row r="53" spans="1:4" ht="15.95">
      <c r="A53" s="29"/>
      <c r="B53" s="30" t="s">
        <v>171</v>
      </c>
      <c r="C53" s="148" t="str" cm="1">
        <f t="array" ref="C53">IF(OR('WRA Worksheet'!C71:D71="yes", 'WRA Worksheet'!C72:D72="yes", 'WRA Worksheet'!C73:D73="yes"),"yes","no")</f>
        <v>no</v>
      </c>
      <c r="D53" s="148"/>
    </row>
    <row r="54" spans="1:4" ht="15.95">
      <c r="A54" s="29"/>
      <c r="B54" s="30" t="s">
        <v>172</v>
      </c>
      <c r="C54" s="148" t="str">
        <f>IF(C53="yes", 'WRA Worksheet'!C74, 'WRA Worksheet'!D54)</f>
        <v>reject</v>
      </c>
      <c r="D54" s="148"/>
    </row>
    <row r="55" spans="1:4" ht="15.95" thickBot="1">
      <c r="A55" s="31"/>
      <c r="B55" s="32"/>
      <c r="C55" s="32"/>
      <c r="D55" s="33"/>
    </row>
    <row r="56" spans="1:4" ht="30.95" thickTop="1">
      <c r="A56" s="34" t="s">
        <v>173</v>
      </c>
      <c r="B56" s="35" t="s">
        <v>174</v>
      </c>
      <c r="C56" s="36" t="s">
        <v>124</v>
      </c>
      <c r="D56" s="33"/>
    </row>
    <row r="57" spans="1:4">
      <c r="A57" s="37" t="s">
        <v>125</v>
      </c>
      <c r="B57" s="38">
        <f>'WRA Worksheet'!C57</f>
        <v>10</v>
      </c>
      <c r="C57" s="39" t="str">
        <f>IF(B57&gt;=2,"yes","no")</f>
        <v>yes</v>
      </c>
      <c r="D57" s="33"/>
    </row>
    <row r="58" spans="1:4">
      <c r="A58" s="37" t="s">
        <v>126</v>
      </c>
      <c r="B58" s="38">
        <f>'WRA Worksheet'!C58</f>
        <v>8</v>
      </c>
      <c r="C58" s="39" t="str">
        <f>IF(B58&gt;=2,"yes","no")</f>
        <v>yes</v>
      </c>
      <c r="D58" s="33"/>
    </row>
    <row r="59" spans="1:4">
      <c r="A59" s="37" t="s">
        <v>127</v>
      </c>
      <c r="B59" s="38">
        <f>'WRA Worksheet'!C59</f>
        <v>16</v>
      </c>
      <c r="C59" s="39" t="str">
        <f>IF(B59&gt;=6,"yes","no")</f>
        <v>yes</v>
      </c>
      <c r="D59" s="33"/>
    </row>
    <row r="60" spans="1:4" ht="15.95" thickBot="1">
      <c r="A60" s="40" t="s">
        <v>128</v>
      </c>
      <c r="B60" s="41">
        <f>'WRA Worksheet'!C60</f>
        <v>34</v>
      </c>
      <c r="C60" s="42" t="str">
        <f>IF(C57="no","no",IF(C58="no","no",IF(C59="no","no","yes")))</f>
        <v>yes</v>
      </c>
      <c r="D60" s="33"/>
    </row>
    <row r="61" spans="1:4" ht="15.95" thickTop="1"/>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defaultColWidth="8.85546875" defaultRowHeight="15"/>
  <cols>
    <col min="1" max="1" width="5" customWidth="1"/>
    <col min="2" max="3" width="49.42578125" customWidth="1"/>
  </cols>
  <sheetData>
    <row r="1" spans="1:3" ht="28.5" customHeight="1">
      <c r="A1" s="43"/>
      <c r="B1" s="44" t="s">
        <v>8</v>
      </c>
      <c r="C1" s="45" t="s">
        <v>9</v>
      </c>
    </row>
    <row r="2" spans="1:3">
      <c r="A2" s="26">
        <v>1.01</v>
      </c>
      <c r="B2" s="46" cm="1">
        <f t="array" ref="B2:C50">'WRA Worksheet'!F3:G51</f>
        <v>0</v>
      </c>
      <c r="C2" s="47">
        <v>0</v>
      </c>
    </row>
    <row r="3" spans="1:3">
      <c r="A3" s="26">
        <v>1.02</v>
      </c>
      <c r="B3" s="46">
        <v>0</v>
      </c>
      <c r="C3" s="46">
        <v>0</v>
      </c>
    </row>
    <row r="4" spans="1:3">
      <c r="A4" s="26">
        <v>1.03</v>
      </c>
      <c r="B4" s="46">
        <v>0</v>
      </c>
      <c r="C4" s="46">
        <v>0</v>
      </c>
    </row>
    <row r="5" spans="1:3" ht="32.1">
      <c r="A5" s="26">
        <v>2.0099999999999998</v>
      </c>
      <c r="B5" s="48" t="str">
        <v xml:space="preserve">High suitability for south and central zones and moderate suitability in northern zone. </v>
      </c>
      <c r="C5" s="49" t="str">
        <v>See climate suitability map.</v>
      </c>
    </row>
    <row r="6" spans="1:3" ht="15.95">
      <c r="A6" s="26">
        <v>2.02</v>
      </c>
      <c r="B6" s="49" t="str">
        <v>High confidence in suitability.</v>
      </c>
      <c r="C6" s="50" t="str">
        <v>See climate suitability map.</v>
      </c>
    </row>
    <row r="7" spans="1:3" ht="48">
      <c r="A7" s="26">
        <v>2.0299999999999998</v>
      </c>
      <c r="B7" s="50" t="str">
        <v xml:space="preserve">Able to persist through periods of drought and lower temperatures (1). See climate suitability map. </v>
      </c>
      <c r="C7" s="49" t="str">
        <v xml:space="preserve">  (1) Jacono, Colette C, and David M Johnson. “Water-Clover Ferns, Marsilea, in the Southeastern United States.” Castanea 71.1 (2006): 1–14. Web.</v>
      </c>
    </row>
    <row r="8" spans="1:3" ht="96">
      <c r="A8" s="26">
        <v>2.04</v>
      </c>
      <c r="B8" s="47" t="str">
        <v>Possesses characteristics suited for periods of heavy precipitation and inundation. Found in ditches, canals, ponds, and paddies. (1)(2).</v>
      </c>
      <c r="C8" s="47" t="str">
        <v xml:space="preserve">  (1) Jacono, Colette C, and David M Johnson. “Water-Clover Ferns, Marsilea, in the Southeastern United States.” Castanea 71.1 (2006): 1–14. Web.  (2) Banerjee, Senjuti et al. “Ethnobotany, Phytochemistry, and Pharmacological Activity of Marsilea Minuta.” Aquatic Medicinal Plants. 1st ed. vol. 1. United Kingdom: CRC Press, 2024. 37–48. Web.</v>
      </c>
    </row>
    <row r="9" spans="1:3" ht="80.099999999999994">
      <c r="A9" s="26">
        <v>2.0499999999999998</v>
      </c>
      <c r="B9" s="47" t="str">
        <v>Occurances of M. minuta found in several sites across Florida, Georgia, and Tennessee (1). Also found in Brazil and Caribbean (2).</v>
      </c>
      <c r="C9" s="49" t="str">
        <v xml:space="preserve">  (1) Jacono, Colette C, and David M Johnson. “Water-Clover Ferns, Marsilea, in the Southeastern United States.” Castanea 71.1 (2006): 1–14. Web. (2) https://powo.science.kew.org/taxon/urn:lsid:ipni.org:names:17145140-1</v>
      </c>
    </row>
    <row r="10" spans="1:3" ht="80.099999999999994">
      <c r="A10" s="26">
        <v>3.01</v>
      </c>
      <c r="B10" s="47" t="str">
        <v>Species is native to Africa and parts of Asia. Found to be widespread and naturalized in the southeast United States (1). Noted to occur in Brazil and Trinidad and Tobago (2)</v>
      </c>
      <c r="C10" s="49" t="str">
        <v xml:space="preserve">  (1) Jacono, Colette C, and David M Johnson. “Water-Clover Ferns, Marsilea, in the Southeastern United States.” Castanea 71.1 (2006): 1–14. Web. (2) https://powo.science.kew.org/taxon/urn:lsid:ipni.org:names:17145140-1</v>
      </c>
    </row>
    <row r="11" spans="1:3" ht="63.95">
      <c r="A11" s="26">
        <v>3.02</v>
      </c>
      <c r="B11" s="46" t="str">
        <v>Grows readily in roadside ditches and other disturbed sites (1). Likely introduced to Florida through the aquarium trade (2).</v>
      </c>
      <c r="C11" s="49" t="str">
        <v xml:space="preserve">  (1) Jacono, Colette C, and David M Johnson. “Water-Clover Ferns, Marsilea, in the Southeastern United States.” Castanea 71.1 (2006): 1–14. Web. (2) https://plant-directory.ifas.ufl.edu/plant-directory/marsilea-species/</v>
      </c>
    </row>
    <row r="12" spans="1:3" ht="48">
      <c r="A12" s="26">
        <v>3.03</v>
      </c>
      <c r="B12" s="46" t="str">
        <v>Grows extensively in rice paddies creating competition for resources (1)(2).</v>
      </c>
      <c r="C12" s="49" t="str">
        <v xml:space="preserve">  (1) Jacono, Colette C, and David M Johnson. “Water-Clover Ferns, Marsilea, in the Southeastern United States.” Castanea 71.1 (2006): 1–14. Web. (2) http://books.irri.org/9712200205_content.pdf</v>
      </c>
    </row>
    <row r="13" spans="1:3">
      <c r="A13" s="26">
        <v>3.04</v>
      </c>
      <c r="B13" s="47" t="str">
        <v>Taxon is listed as a weed of agriculture but no studies focus on its impacts of natural environment (1).</v>
      </c>
      <c r="C13" s="49" t="str">
        <v>http://books.irri.org/9712200205_content.pdf</v>
      </c>
    </row>
    <row r="14" spans="1:3" ht="48">
      <c r="A14" s="26">
        <v>3.05</v>
      </c>
      <c r="B14" s="47" t="str">
        <v>Several species in the family Marsileaceae are found to be weedy and agricultural pests (1)(2).</v>
      </c>
      <c r="C14" s="49" t="str">
        <v xml:space="preserve">  (1) Jacono, Colette C, and David M Johnson. “Water-Clover Ferns, Marsilea, in the Southeastern United States.” Castanea 71.1 (2006): 1–14. Web. (2) https://plant-directory.ifas.ufl.edu/plant-directory/marsilea-species/</v>
      </c>
    </row>
    <row r="15" spans="1:3">
      <c r="A15" s="26">
        <v>4.01</v>
      </c>
      <c r="B15" s="46" t="str">
        <v>No evidence</v>
      </c>
      <c r="C15" s="51">
        <v>0</v>
      </c>
    </row>
    <row r="16" spans="1:3" ht="96">
      <c r="A16" s="26">
        <v>4.0199999999999996</v>
      </c>
      <c r="B16" s="47" t="str">
        <v xml:space="preserve">Studies show that paddy cultivars of rice and other aquatic crops are negatively affected by the presence of M. minuta extracts and residues but did not focus on impacts of M. minuta in the field (1)(2). </v>
      </c>
      <c r="C16" s="47" t="str">
        <v xml:space="preserve">(1) Tanveer, A et al. “Assessing the Potential of the Water Soluble Allelopaths of Marsilea Minuta in Rice and Wheat.” Planta daninha 33.2 (2015): 231–239. Web. (2) Rajangam, M. (1988). Allelopathic influences of Marsilea minuta on the germination and growth of paddy cultivars. Indian Botanical Society. </v>
      </c>
    </row>
    <row r="17" spans="1:3">
      <c r="A17" s="26">
        <v>4.03</v>
      </c>
      <c r="B17" s="47" t="str">
        <v>No evidence</v>
      </c>
      <c r="C17" s="47">
        <v>0</v>
      </c>
    </row>
    <row r="18" spans="1:3">
      <c r="A18" s="26">
        <v>4.04</v>
      </c>
      <c r="B18" s="47" t="str">
        <v>No evidence of harmful effects.</v>
      </c>
      <c r="C18" s="47">
        <v>0</v>
      </c>
    </row>
    <row r="19" spans="1:3">
      <c r="A19" s="26">
        <v>4.05</v>
      </c>
      <c r="B19" s="47" t="str">
        <v>M. minuta by itself is found to be non-toxic (1) but is noted to be an exceptional bioaccumulator of toxic metals (2).</v>
      </c>
      <c r="C19" s="47" t="str">
        <v>(1) Bala, N. (2025). Toxicity Profiling of Marsilea Minuta Conjugated ZnO Nanoparticles for Therapeutics as Nanomedicine. Journal of Scientific Research, 17(1), 235–245. https://doi.org/10.3329/jsr.v17i1.71341         (2) 
  MK, A. (2015). Biosorption Property of Cadmium (II) in Marsilea minuta L. with Polyamine Interaction. Molecular Plant Breeding (English), 6(14). https://doi.org/10.5376/mpb.2015.06.0014</v>
      </c>
    </row>
    <row r="20" spans="1:3">
      <c r="A20" s="26">
        <v>4.0599999999999996</v>
      </c>
      <c r="B20" s="47" t="str">
        <v>No evidence</v>
      </c>
      <c r="C20" s="47">
        <v>0</v>
      </c>
    </row>
    <row r="21" spans="1:3">
      <c r="A21" s="26">
        <v>4.07</v>
      </c>
      <c r="B21" s="47" t="str">
        <v>No evidence</v>
      </c>
      <c r="C21" s="47">
        <v>0</v>
      </c>
    </row>
    <row r="22" spans="1:3">
      <c r="A22" s="26">
        <v>4.08</v>
      </c>
      <c r="B22" s="47" t="str">
        <v xml:space="preserve">No studies discuss the presense of flammable compounds in the plant. Taxon is unlikely to carry fire. </v>
      </c>
      <c r="C22" s="49">
        <v>0</v>
      </c>
    </row>
    <row r="23" spans="1:3" ht="48">
      <c r="A23" s="26">
        <v>4.09</v>
      </c>
      <c r="B23" s="47" t="str">
        <v>Prefers to grow in full sun (1).</v>
      </c>
      <c r="C23" s="47" t="str">
        <v xml:space="preserve">  (1) Jacono, Colette C, and David M Johnson. “Water-Clover Ferns, Marsilea, in the Southeastern United States.” Castanea 71.1 (2006): 1–14. Web.</v>
      </c>
    </row>
    <row r="24" spans="1:3">
      <c r="A24" s="26">
        <v>4.0999999999999996</v>
      </c>
      <c r="B24" s="47" t="str">
        <v>Noted to be found in saturated dark soils which are commonly fertile and nutrient-rich.</v>
      </c>
      <c r="C24" s="47" t="str">
        <v>https://florida.plantatlas.usf.edu/specimen/plantdetails/1475</v>
      </c>
    </row>
    <row r="25" spans="1:3">
      <c r="A25" s="26">
        <v>4.1100000000000003</v>
      </c>
      <c r="B25" s="47" t="str">
        <v>No evidence</v>
      </c>
      <c r="C25" s="47">
        <v>0</v>
      </c>
    </row>
    <row r="26" spans="1:3">
      <c r="A26" s="26">
        <v>4.12</v>
      </c>
      <c r="B26" s="47" t="str">
        <v>No evidence of growth impeding movement through the environment.</v>
      </c>
      <c r="C26" s="47">
        <v>0</v>
      </c>
    </row>
    <row r="27" spans="1:3" ht="96">
      <c r="A27" s="26">
        <v>5.01</v>
      </c>
      <c r="B27" s="47" t="str">
        <v>Prefers aquatic environments and persists through periods of high inundation (1)(2).</v>
      </c>
      <c r="C27" s="47" t="str">
        <v xml:space="preserve">  (1) Jacono, Colette C, and David M Johnson. “Water-Clover Ferns, Marsilea, in the Southeastern United States.” Castanea 71.1 (2006): 1–14. Web.  (2) Banerjee, Senjuti et al. “Ethnobotany, Phytochemistry, and Pharmacological Activity of Marsilea Minuta.” Aquatic Medicinal Plants. 1st ed. vol. 1. United Kingdom: CRC Press, 2024. 37–48. Web.</v>
      </c>
    </row>
    <row r="28" spans="1:3" ht="15.95">
      <c r="A28" s="26">
        <v>5.0199999999999996</v>
      </c>
      <c r="B28" s="47" t="str">
        <v>Not of the Poaceae family</v>
      </c>
      <c r="C28" s="47">
        <v>0</v>
      </c>
    </row>
    <row r="29" spans="1:3" ht="32.1">
      <c r="A29" s="26">
        <v>5.03</v>
      </c>
      <c r="B29" s="47" t="str">
        <v>Is of the Marsileaceae family</v>
      </c>
      <c r="C29" s="47" t="str">
        <v>https://powo.science.kew.org/taxon/urn:lsid:ipni.org:names:17145140-1</v>
      </c>
    </row>
    <row r="30" spans="1:3" ht="15.95">
      <c r="A30" s="26">
        <v>5.04</v>
      </c>
      <c r="B30" s="47" t="str">
        <v>Does not possess tubers or other specialized organs.</v>
      </c>
      <c r="C30" s="47">
        <v>0</v>
      </c>
    </row>
    <row r="31" spans="1:3">
      <c r="A31" s="26">
        <v>6.01</v>
      </c>
      <c r="B31" s="46" t="str">
        <v>No evidence. Taxon is not threatened.</v>
      </c>
      <c r="C31" s="47">
        <v>0</v>
      </c>
    </row>
    <row r="32" spans="1:3" ht="48">
      <c r="A32" s="26">
        <v>6.02</v>
      </c>
      <c r="B32" s="47" t="str">
        <v>M. minuta is not a sterile subspecies, variety, or cultivar</v>
      </c>
      <c r="C32" s="47" t="str">
        <v xml:space="preserve">  (1) Jacono, Colette C, and David M Johnson. “Water-Clover Ferns, Marsilea, in the Southeastern United States.” Castanea 71.1 (2006): 1–14. Web.</v>
      </c>
    </row>
    <row r="33" spans="1:3">
      <c r="A33" s="26">
        <v>6.03</v>
      </c>
      <c r="B33" s="47" t="str">
        <v>no evidence that marsileas hybridize naturally.</v>
      </c>
      <c r="C33" s="47" t="str">
        <v>https://www.floridamuseum.ufl.edu/herbarium/research/barcoding/marsilea-report/</v>
      </c>
    </row>
    <row r="34" spans="1:3">
      <c r="A34" s="26">
        <v>6.04</v>
      </c>
      <c r="B34" s="47" t="str">
        <v>Taxon is a fern that can produce macro-sporangia and micro-sporangia in one plant.</v>
      </c>
      <c r="C34" s="47" t="str">
        <v>https://www.cabidigitallibrary.org/doi/full/10.1079/cabicompendium.32557</v>
      </c>
    </row>
    <row r="35" spans="1:3" ht="15.95">
      <c r="A35" s="26">
        <v>6.05</v>
      </c>
      <c r="B35" s="47" t="str">
        <v>No evidence. Taxon is a fern</v>
      </c>
      <c r="C35" s="47">
        <v>0</v>
      </c>
    </row>
    <row r="36" spans="1:3" ht="48">
      <c r="A36" s="26">
        <v>6.06</v>
      </c>
      <c r="B36" s="47" t="str">
        <v>M. minuta possesses pubescent creeping rhizomes that can root at the nodes (1).</v>
      </c>
      <c r="C36" s="47" t="str">
        <v xml:space="preserve">  (1) Jacono, Colette C, and David M Johnson. “Water-Clover Ferns, Marsilea, in the Southeastern United States.” Castanea 71.1 (2006): 1–14. Web.</v>
      </c>
    </row>
    <row r="37" spans="1:3" ht="32.1">
      <c r="A37" s="26">
        <v>6.07</v>
      </c>
      <c r="B37" s="47" t="str">
        <v>No studies list time from germination to complete reproduction</v>
      </c>
      <c r="C37" s="47">
        <v>0</v>
      </c>
    </row>
    <row r="38" spans="1:3" ht="32.1">
      <c r="A38" s="26">
        <v>7.01</v>
      </c>
      <c r="B38" s="47" t="str">
        <v>Propagules are extremely small and easily dispersed in water and in soil.</v>
      </c>
      <c r="C38" s="47" t="str">
        <v>https://www.cabidigitallibrary.org/doi/full/10.1079/cabicompendium.32557</v>
      </c>
    </row>
    <row r="39" spans="1:3" ht="32.1">
      <c r="A39" s="26">
        <v>7.02</v>
      </c>
      <c r="B39" s="47" t="str">
        <v>A possible pathway of introduction to Florida is through the aquarium trade (1).</v>
      </c>
      <c r="C39" s="47" t="str">
        <v>https://plant-directory.ifas.ufl.edu/plant-directory/marsilea-species/</v>
      </c>
    </row>
    <row r="40" spans="1:3">
      <c r="A40" s="26">
        <v>7.03</v>
      </c>
      <c r="B40" s="46" t="str">
        <v>No noted occurances of produce contamination, but taxon is a know pest of rice production.</v>
      </c>
      <c r="C40" s="47" t="str">
        <v>http://books.irri.org/9712200205_content.pdf</v>
      </c>
    </row>
    <row r="41" spans="1:3">
      <c r="A41" s="26">
        <v>7.04</v>
      </c>
      <c r="B41" s="47" t="str">
        <v>Not much information found regarding taxon, but fern spores in general are spread by wind.</v>
      </c>
      <c r="C41" s="47" t="str">
        <v>Rose, Jeffrey P., and Cynthia L. Dassler. “Spore Production and Dispersal in Two Temperate Fern Species, With an Overview of the Evolution of Spore Production in Ferns.” American Fern Journal, vol. 107, no. 3, 2017, pp. 136–55. JSTOR, http://www.jstor.org/stable/44858029. Accessed 13 June 2025.</v>
      </c>
    </row>
    <row r="42" spans="1:3">
      <c r="A42" s="26">
        <v>7.05</v>
      </c>
      <c r="B42" s="47" t="str">
        <v>Not much information found regarding taxon, but fern spores in general are easily spread by water.</v>
      </c>
      <c r="C42" s="47">
        <v>0</v>
      </c>
    </row>
    <row r="43" spans="1:3">
      <c r="A43" s="26">
        <v>7.06</v>
      </c>
      <c r="B43" s="47" t="str">
        <v>It is possible that sporocarps can be transported by being ingested by migratory waterfowl.</v>
      </c>
      <c r="C43" s="47" t="str">
        <v>BURKHALTER, JAMES R. “MARSILEA MINUTA (MARSILEACEAE): NEW TO FLORIDA AND NORTH AMERICA.” SIDA, Contributions to Botany, vol. 16, no. 3, 1995, pp. 545–49. JSTOR, http://www.jstor.org/stable/41967158. Accessed 11 June 2025.</v>
      </c>
    </row>
    <row r="44" spans="1:3">
      <c r="A44" s="26">
        <v>7.07</v>
      </c>
      <c r="B44" s="47" t="str">
        <v>No evidence</v>
      </c>
      <c r="C44" s="47">
        <v>0</v>
      </c>
    </row>
    <row r="45" spans="1:3" ht="80.099999999999994">
      <c r="A45" s="26">
        <v>7.08</v>
      </c>
      <c r="B45" s="46" t="str">
        <v>No evidence</v>
      </c>
      <c r="C45" s="47">
        <v>0</v>
      </c>
    </row>
    <row r="46" spans="1:3">
      <c r="A46" s="26">
        <v>8.01</v>
      </c>
      <c r="B46" s="46" t="str">
        <v>Described as producing "numerous" spores (1) Taxon is a fern.</v>
      </c>
      <c r="C46" s="47" t="str">
        <v>https://www.cabidigitallibrary.org/doi/full/10.1079/cabicompendium.32557</v>
      </c>
    </row>
    <row r="47" spans="1:3">
      <c r="A47" s="26">
        <v>8.02</v>
      </c>
      <c r="B47" s="47" t="str">
        <v>Not enough information found</v>
      </c>
      <c r="C47" s="47">
        <v>0</v>
      </c>
    </row>
    <row r="48" spans="1:3">
      <c r="A48" s="26">
        <v>8.0299999999999994</v>
      </c>
      <c r="B48" s="47" t="str">
        <v>M. minuta is commonly controlled by herbicides during rice production (1)(2).</v>
      </c>
      <c r="C48" s="47" t="str">
        <v>(1) http://books.irri.org/9712200205_content.pdf          (2) https://www.cabidigitallibrary.org/doi/full/10.1079/cabicompendium.32557</v>
      </c>
    </row>
    <row r="49" spans="1:3">
      <c r="A49" s="26">
        <v>8.0399999999999991</v>
      </c>
      <c r="B49" s="47" t="str">
        <v>Can reproduce vegetatively but not enough evidence noting that M. minuta benefits from mutilation (1).</v>
      </c>
      <c r="C49" s="47" t="str">
        <v xml:space="preserve">  (1) Jacono, Colette C, and David M Johnson. “Water-Clover Ferns, Marsilea, in the Southeastern United States.” Castanea 71.1 (2006): 1–14. Web.</v>
      </c>
    </row>
    <row r="50" spans="1:3" ht="56.1">
      <c r="A50" s="26">
        <v>8.0500000000000007</v>
      </c>
      <c r="B50" s="46" t="str">
        <v>No evidence of enemies occurring in the U.S. One noted enemy (not currently  in the U.S.) is the larvae of the Lepidopteran Nymphula responsalis, a defoliator of several aquatic plants including M. minuta. (1)</v>
      </c>
      <c r="C50" s="47" t="str">
        <v>(1) Vergis, P. C. “On the Occurrence of Nymphula Responsalis Walker as a Pest of Salvinia Sp. in Kerala State.” Current science (Bangalore) 45.3 (1976): 117–117. Print.</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4714E1-6774-437D-801A-4B8EB940739E}"/>
</file>

<file path=customXml/itemProps2.xml><?xml version="1.0" encoding="utf-8"?>
<ds:datastoreItem xmlns:ds="http://schemas.openxmlformats.org/officeDocument/2006/customXml" ds:itemID="{C72C3439-75BE-411A-8E6B-DF10E44BED25}"/>
</file>

<file path=customXml/itemProps3.xml><?xml version="1.0" encoding="utf-8"?>
<ds:datastoreItem xmlns:ds="http://schemas.openxmlformats.org/officeDocument/2006/customXml" ds:itemID="{EC95E164-D037-4E79-A7CC-1691D91A86F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Deelstra, Cameron</cp:lastModifiedBy>
  <cp:revision/>
  <dcterms:created xsi:type="dcterms:W3CDTF">2021-06-15T16:34:22Z</dcterms:created>
  <dcterms:modified xsi:type="dcterms:W3CDTF">2025-06-13T17:36:53Z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