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kimse\OneDrive\Desktop\UF\Species\Stylosanthes viscosa\Docs\"/>
    </mc:Choice>
  </mc:AlternateContent>
  <xr:revisionPtr revIDLastSave="0" documentId="13_ncr:1_{A1AFB7EB-9F52-42FC-A363-6EFC40B8F969}" xr6:coauthVersionLast="47" xr6:coauthVersionMax="47" xr10:uidLastSave="{00000000-0000-0000-0000-000000000000}"/>
  <bookViews>
    <workbookView xWindow="-22320" yWindow="3345" windowWidth="21600" windowHeight="11295"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C74" i="1" s="1"/>
  <c r="C53" i="3" a="1"/>
  <c r="C53" i="3" s="1"/>
  <c r="D72" i="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D59" i="1" l="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<sst xmlns="http://schemas.openxmlformats.org/spreadsheetml/2006/main" count="333" uniqueCount="167">
  <si>
    <t>Species:</t>
  </si>
  <si>
    <t>Stylosanthes viscosa aka Astyposanthes viscosa, Hedysarum hamatum var. viscosum. Family: Fabaceae. (Poor man's friend, Sticky stylo, Viscid pencil-flower, False lupine)</t>
  </si>
  <si>
    <t>Assessment date: May 7, 2025 Prepared by Seokmin Kim</t>
  </si>
  <si>
    <t>Number</t>
  </si>
  <si>
    <t>Question</t>
  </si>
  <si>
    <t>Answer</t>
  </si>
  <si>
    <t>Score</t>
  </si>
  <si>
    <t>Uncertainty</t>
  </si>
  <si>
    <t>Evidence</t>
  </si>
  <si>
    <t>Reference</t>
  </si>
  <si>
    <t>Is the species highly domesticated?</t>
  </si>
  <si>
    <t>n</t>
  </si>
  <si>
    <t>No evidence</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</si>
  <si>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</si>
  <si>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</si>
  <si>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</si>
  <si>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Highly suited for Central and South. Not suitable for North</t>
  </si>
  <si>
    <t>See attached climate suitabilit map</t>
  </si>
  <si>
    <t>Quality of climate match data (1-low; 2-intermediate; 3-high)</t>
  </si>
  <si>
    <t>See attached climate suitability map</t>
  </si>
  <si>
    <t>Broad climate suitability (environmental versatility)</t>
  </si>
  <si>
    <t>Native or naturalized in habitats with periodic inundation
       North Zone: mean annual precipitation 50-70 inches
       Central Zone: mean annual precipitation 40-60 inches
       South Zone: mean annual precipitation 40-60 inches</t>
  </si>
  <si>
    <t>y</t>
  </si>
  <si>
    <t>Does the species have a history of repeated introductions outside its natural range?</t>
  </si>
  <si>
    <t>Native to Central and South America as well as parts of the Caribbean. Introduced to west Africa (Sierra Leone) and Australia (1). Considered naturalized in Australia (2). Also noted as being naturalized in Hawaii (3) Numerous occurence points in northern Australia (4)</t>
  </si>
  <si>
    <t>[1] https://powo.science.kew.org/taxon/urn:lsid:ipni.org:names:1176701-2 [2] https://keyserver.lucidcentral.org/weeds/data/media/Html/stylosanthes_viscosa.htm [3] https://plantsofhawaii.org/detail/%7BDD4A1960-E7EB-4FC4-BE96-9206A4162456%7D [4] https://www.gbif.org/occurrence/map?taxon_key=2975677</t>
  </si>
  <si>
    <t>Naturalized beyond native range</t>
  </si>
  <si>
    <t>Native to Central and South America as well as parts of the Caribbean. Introduced to west Africa (Sierra Leone) and Australia (1). Considered naturalized in Australia (2). Also noted as being naturalized in Hawaii (3)</t>
  </si>
  <si>
    <t>[1] https://powo.science.kew.org/taxon/urn:lsid:ipni.org:names:1176701-2 [2] https://keyserver.lucidcentral.org/weeds/data/media/Html/stylosanthes_viscosa.htm [3] https://plantsofhawaii.org/detail/%7BDD4A1960-E7EB-4FC4-BE96-9206A4162456%7D</t>
  </si>
  <si>
    <t>Garden/amenity/disturbance weed</t>
  </si>
  <si>
    <t>Found near drainage channels and along paths next to canals / mowed roadsides (1). Noted to thrive in disturbed areas and roadsides (2)</t>
  </si>
  <si>
    <t>[1] Personal communications. James Wetterer (May 8, 2025). [2] https://plantiary.com/plant/stylosanthes-viscosa_43250.html</t>
  </si>
  <si>
    <t>Weed of agriculture</t>
  </si>
  <si>
    <t>?</t>
  </si>
  <si>
    <t>Possible given that it is grown in pastures as feed. If unmanaged may become weedy. Given lack of supporting information, answered UNKNOWN</t>
  </si>
  <si>
    <t>Environmental weed</t>
  </si>
  <si>
    <t>"Regarded as a minor environmental weed in Western Australia, the Northern Territory and northern Queensland. (1). However, not enough supporting evidence found on why. Answered UNKNOWN</t>
  </si>
  <si>
    <t>[1] https://keyserver.lucidcentral.org/weeds/data/media/Html/stylosanthes_viscosa.htm</t>
  </si>
  <si>
    <t>Congeneric weed</t>
  </si>
  <si>
    <t>Stylosanthes scabra considered invasive (1) (2)</t>
  </si>
  <si>
    <t>[1] https://www.agric.wa.gov.au/sites/gateway/files/DPIRD%20Environmental%20WRA%20Stylosanthes%20scabra.pdf [2] http://www.hear.org/pier/species/stylosanthes_scabra.htm</t>
  </si>
  <si>
    <t>Produces spines, thorns or burrs</t>
  </si>
  <si>
    <t>Allelopathic</t>
  </si>
  <si>
    <t>Not enough information found</t>
  </si>
  <si>
    <t>Parasitic</t>
  </si>
  <si>
    <t>Unpalatable to grazing animals</t>
  </si>
  <si>
    <t>Considered as a forage feed for livestock (1) (2) (3)</t>
  </si>
  <si>
    <t>[1] https://core.ac.uk/download/pdf/132633365.pdf [2] https://weeds.org.au/wp-content/uploads/2020/02/tech_series_3.pdf [3] Weiss, J., Thinley, T., Karma Nidup, K. N., Mahesh Ghimiray, M. G., Sangay Wandi, S. W., &amp; Tshering Dochen, T. D. (2004). Working with weeds in the Land of the Thunderdragon: an opportunity to prevent weed invasions.</t>
  </si>
  <si>
    <t>Toxic to animals</t>
  </si>
  <si>
    <t>Host for recognised pests and pathogens</t>
  </si>
  <si>
    <t>Not enough information found plant will increase risk of pathogens and pests, although it is noted to be susceptible to anthracnose and blight (1)</t>
  </si>
  <si>
    <t>[1] https://tropicalforages.info/text/entities/stylosanthes_viscosa.htm</t>
  </si>
  <si>
    <t>Causes allergies or is otherwise toxic to humans</t>
  </si>
  <si>
    <t>Creates a fire hazard in natural ecosystems</t>
  </si>
  <si>
    <t>Noted that some ecotypes are fire tolerant (1). Not enough supporting evidence found regarding fire risk. Answered UNKNOWN</t>
  </si>
  <si>
    <t>[1] https://tropicalforages.info/pdf/stylosanthes_viscosa.pdf</t>
  </si>
  <si>
    <t>Is a shade tolerant plant at some stage of its life cycle</t>
  </si>
  <si>
    <t>Prefers open habitats. Suspected that it has low tolerance of shade (1). However, a study in Brazil showed phenotypic plasticity occuring with different light exposure. This implies that the taxon can grow in shade. (2). Given conflicting information, answered UNKNOWN</t>
  </si>
  <si>
    <t>[1] https://tropicalforages.info/pdf/stylosanthes_viscosa.pdf [2] Dirksen, J. S., &amp; JÚNIOR, J. C. F. D. M. (2018). Morpho-anatomical plasticity of Stylosanthes viscosa (Fabaceae) in response to different soil and light conditions of Restinga environments. Pak. J. Bot, 50(5), 1877-1884.</t>
  </si>
  <si>
    <t>Grows on infertile soils (oligotrophic, limerock, or excessively draining soils).  North &amp; Central Zones: infertile soils; South Zone: shallow limerock or Histisols.</t>
  </si>
  <si>
    <t>Noted to grow in well draining soils (1) (2)</t>
  </si>
  <si>
    <t>[1] https://tropicalforages.info/pdf/stylosanthes_viscosa.pdf [2] https://plantiary.com/plant/stylosanthes-viscosa_43250.html</t>
  </si>
  <si>
    <t>Climbing or smothering growth habit</t>
  </si>
  <si>
    <t>Forms dense thickets</t>
  </si>
  <si>
    <t>No evidence plant forms dense thickets enough to impeded movement</t>
  </si>
  <si>
    <t>Aquatic</t>
  </si>
  <si>
    <t>Grass</t>
  </si>
  <si>
    <t>Not of the Poaceae family</t>
  </si>
  <si>
    <t>Nitrogen fixing woody plant</t>
  </si>
  <si>
    <t>Is of the Fabaceae family</t>
  </si>
  <si>
    <t>Geophyte</t>
  </si>
  <si>
    <t>Evidence of substantial reproductive failure in native habitat</t>
  </si>
  <si>
    <t>Produces viable seed</t>
  </si>
  <si>
    <t>Propagates by seed (1) (2)</t>
  </si>
  <si>
    <t xml:space="preserve">[1] https://tropicalforages.info/text/entities/stylosanthes_viscosa.htm [2] Kretschmer, A.E. Jr. and J.B. Brolmann.  1984.  Global ventures in Stylosanthes II. U.S.A. and Caribbean. Pp. 467–486 in H.M. Stace and L.A. Edye (eds.) The Biology and Agronomy of Stylosanthes. Academic Press Australia. </t>
  </si>
  <si>
    <t>Hybridizes naturally</t>
  </si>
  <si>
    <t>Inter specific crosses noted to occur (1). Molecular evidence supports hybrid origin of new Stylosanthes species from S. viscosa and S. calcicola (2)</t>
  </si>
  <si>
    <t>[1] https://tropicalforages.info/text/entities/stylosanthes_viscosa.htm [2] Stappen, J. V., Lopez, U. G., Davila, P., &amp; Volckaert, G. (2002). Molecular evidence for the hybrid origin of a new endemic species of Stylosanthes Sw.(Fabaceae) from the Mexican Yucatán Peninsula. Botanical journal of the linnean society, 140(1), 1-13.</t>
  </si>
  <si>
    <t>Self-compatible or apomictic</t>
  </si>
  <si>
    <t>Shown to be self-compatible [1]</t>
  </si>
  <si>
    <t>[1] Ramalho, M., &amp; Rosa, J. F. (2010). Ecological interaction between the tiny keel flowers of Stylosanthes viscosa Sw.(Faboideae) and the large bee Xylocopa (Neoxylocopa) cearensis Ducke, 1910 (Apoidea, Hymenoptera), in tropical sand dune. Biota Neotropica, 10, 93-100.</t>
  </si>
  <si>
    <t>Requires specialist pollinators</t>
  </si>
  <si>
    <t>Pollinated by insects (1)</t>
  </si>
  <si>
    <t>Reproduction by vegetative propagation</t>
  </si>
  <si>
    <t>Not enough information found. Propagation by cuttings suggested for genus, but not enough supporting information found (1)</t>
  </si>
  <si>
    <t>[1] https://greg.app/stylosanthes-overview/</t>
  </si>
  <si>
    <t>Minimum generative time (years)</t>
  </si>
  <si>
    <t xml:space="preserve">Not enough information found </t>
  </si>
  <si>
    <t>Propagules likely to be dispersed unintentionally (plants growing in heavily trafficked areas)</t>
  </si>
  <si>
    <t>Found near drainage channels and along paths next to canals / mowed roadsides (1) (2)</t>
  </si>
  <si>
    <t>[1] Personal communications. James Wetterer (May 8, 2025). [2] https://apsa.anu.edu.au/samples/sample.php?id=129-199-4</t>
  </si>
  <si>
    <t>Propagules dispersed intentionally by people</t>
  </si>
  <si>
    <t>Propagules likely to disperse as a produce contaminant</t>
  </si>
  <si>
    <t>Possible given small seeds (1) Closely related congener (S. scabra) noted to be a contaminat of hay (2). Noted to be a contaminant of hay (3)*</t>
  </si>
  <si>
    <t>[1] https://tropicalforages.info/pdf/stylosanthes_viscosa.pdf (2) https://keyserver.lucidcentral.org/weeds/data/media/Html/stylosanthes_scabra.htm [3] https://apsa.anu.edu.au/samples/sample.php?id=129-199-4 *: Could not acquire source cited in website - Smith, N. M. (2002) Weeds of the wet/dry tropics of Australia - a field guide. Environmental Centre NT, Inc.</t>
  </si>
  <si>
    <t>Propagules adapted to wind dispersal</t>
  </si>
  <si>
    <t>Propagules water dispersed</t>
  </si>
  <si>
    <t>Possible that legumes can float, but not enough information found</t>
  </si>
  <si>
    <t>Propagules bird dispersed</t>
  </si>
  <si>
    <t>Likely given that  Stylosanthes seeds are noted to adhere to surfaces (1). Additionally, parts of the plant are sticky, so it could assist in transporting seed bearing plant parts (2)</t>
  </si>
  <si>
    <t>[1] da Silva Ferreira, J. J., Fortuna Perez, A. P., Lewis, G. P., &amp; Silva, J. S. (2021). Characteristics of the fruits of Brazilian species of Stylosanthes Sw.(Leguminosae) and their taxonomic value. International Journal of Plant Sciences, 182(2), 133-150. [2] https://www.flowersofindia.net/catalog/slides/Sticky%20Stylo.html</t>
  </si>
  <si>
    <t>Propagules dispersed by other animals (externally)</t>
  </si>
  <si>
    <t>Propagules dispersed by other animals (internally)</t>
  </si>
  <si>
    <t>Prolific seed production</t>
  </si>
  <si>
    <t>Noted to produce 400k-500k seeds per kg. (1) However, unclear if this refers to seed production capacity of a single plant. Answered UNKNOWN</t>
  </si>
  <si>
    <t>Evidence that a persistent propagule bank is formed (&gt;1 yr)</t>
  </si>
  <si>
    <t>Well controlled by herbicides</t>
  </si>
  <si>
    <t>Herbicides noted to be effective. Trifluralin and 2,4-d recommended (1) (2)</t>
  </si>
  <si>
    <t>[1] https://tropicalforages.info/text/entities/stylosanthes_viscosa.htm [2] https://core.ac.uk/download/pdf/132633365.pdf</t>
  </si>
  <si>
    <t>Tolerates, or benefits from, mutilation or cultivation</t>
  </si>
  <si>
    <t xml:space="preserve">Not enough information found. Maybe unlikely as this plant does not seem to be propagated vegetatively for the most part. </t>
  </si>
  <si>
    <t>Effective natural enemies present in U.S.</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</si>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</sst>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sz val="11"/>
      <color theme="1"/>
      <name val="Calibri"/>
      <family val="2"/>
    </font>
    <font>
      <b/>
      <sz val="11"/>
      <color rgb="FFFF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5">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1" fillId="0" borderId="15" xfId="0" applyFont="1" applyBorder="1" applyAlignment="1">
      <alignment horizontal="center"/>
    </xf>
    <xf numFmtId="0" fontId="1" fillId="0" borderId="0" xfId="0" applyFont="1" applyAlignment="1" applyProtection="1">
      <alignment horizontal="center" vertical="top"/>
      <protection locked="0"/>
    </xf>
    <xf numFmtId="0" fontId="1" fillId="0" borderId="0" xfId="0" applyFont="1" applyAlignment="1" applyProtection="1">
      <alignment horizontal="center" vertical="top" wrapText="1"/>
    </xf>
    <xf numFmtId="0" fontId="1"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2" xfId="0" applyFont="1" applyBorder="1" applyAlignment="1" applyProtection="1">
      <alignment wrapText="1"/>
    </xf>
    <xf numFmtId="0" fontId="1" fillId="0" borderId="3" xfId="0" applyFont="1" applyBorder="1" applyAlignment="1" applyProtection="1">
      <alignment wrapText="1"/>
    </xf>
    <xf numFmtId="0" fontId="0" fillId="0" borderId="0" xfId="0" applyAlignment="1" applyProtection="1">
      <alignment horizontal="center" vertical="center" wrapText="1"/>
    </xf>
    <xf numFmtId="0" fontId="1" fillId="0" borderId="5" xfId="0" applyFont="1" applyBorder="1" applyAlignment="1" applyProtection="1">
      <alignment wrapText="1"/>
    </xf>
    <xf numFmtId="0" fontId="0" fillId="0" borderId="1" xfId="0" applyBorder="1" applyAlignment="1" applyProtection="1">
      <alignment horizontal="center" vertical="center" wrapText="1"/>
    </xf>
    <xf numFmtId="0" fontId="1" fillId="0" borderId="0" xfId="0" applyFont="1" applyAlignment="1" applyProtection="1">
      <alignment wrapText="1"/>
    </xf>
    <xf numFmtId="0" fontId="1" fillId="0" borderId="22" xfId="0" applyFont="1" applyBorder="1" applyAlignment="1" applyProtection="1">
      <alignment wrapText="1"/>
    </xf>
    <xf numFmtId="0" fontId="6" fillId="0" borderId="22" xfId="0" applyFont="1" applyBorder="1" applyAlignment="1" applyProtection="1">
      <alignment wrapText="1"/>
    </xf>
    <xf numFmtId="2" fontId="10" fillId="0" borderId="29" xfId="0" applyNumberFormat="1" applyFont="1" applyBorder="1" applyAlignment="1">
      <alignment horizontal="left" vertical="top" wrapText="1"/>
    </xf>
    <xf numFmtId="2" fontId="11" fillId="5" borderId="29" xfId="0" applyNumberFormat="1" applyFont="1" applyFill="1" applyBorder="1" applyAlignment="1">
      <alignment horizontal="left" vertical="top" wrapText="1"/>
    </xf>
    <xf numFmtId="0" fontId="13" fillId="5" borderId="29" xfId="0" applyFont="1" applyFill="1" applyBorder="1" applyAlignment="1">
      <alignment vertical="top" wrapText="1"/>
    </xf>
    <xf numFmtId="0" fontId="12" fillId="5" borderId="29" xfId="0" applyFont="1" applyFill="1" applyBorder="1" applyAlignment="1">
      <alignment horizontal="left" vertical="top" wrapText="1"/>
    </xf>
    <xf numFmtId="0" fontId="6" fillId="5" borderId="29" xfId="0" applyFont="1" applyFill="1" applyBorder="1" applyAlignment="1">
      <alignment vertical="top" wrapText="1"/>
    </xf>
    <xf numFmtId="2" fontId="10" fillId="0" borderId="0" xfId="0" applyNumberFormat="1" applyFont="1" applyAlignment="1">
      <alignment horizontal="right" vertical="top" wrapText="1"/>
    </xf>
    <xf numFmtId="0" fontId="10" fillId="0" borderId="0" xfId="0" applyFont="1" applyAlignment="1">
      <alignment vertical="top" wrapText="1"/>
    </xf>
    <xf numFmtId="0" fontId="12" fillId="0" borderId="0" xfId="0" applyFont="1"/>
    <xf numFmtId="0" fontId="14" fillId="0" borderId="2" xfId="0" applyFont="1" applyBorder="1" applyAlignment="1">
      <alignment vertical="top" wrapText="1"/>
    </xf>
    <xf numFmtId="0" fontId="15" fillId="0" borderId="3" xfId="0" applyFont="1" applyBorder="1" applyAlignment="1">
      <alignment wrapText="1"/>
    </xf>
    <xf numFmtId="0" fontId="16" fillId="0" borderId="4" xfId="0" applyFont="1" applyBorder="1" applyAlignment="1">
      <alignment wrapText="1"/>
    </xf>
    <xf numFmtId="0" fontId="17" fillId="0" borderId="22" xfId="0" applyFont="1" applyBorder="1"/>
    <xf numFmtId="0" fontId="17" fillId="0" borderId="0" xfId="0" applyFont="1"/>
    <xf numFmtId="0" fontId="18" fillId="0" borderId="23" xfId="0" applyFont="1" applyBorder="1"/>
    <xf numFmtId="0" fontId="17" fillId="0" borderId="5" xfId="0" applyFont="1" applyBorder="1"/>
    <xf numFmtId="0" fontId="17" fillId="0" borderId="1" xfId="0" applyFont="1" applyBorder="1"/>
    <xf numFmtId="0" fontId="18" fillId="0" borderId="6" xfId="0" applyFont="1" applyBorder="1"/>
    <xf numFmtId="0" fontId="6" fillId="4" borderId="29" xfId="0" applyFont="1" applyFill="1" applyBorder="1" applyAlignment="1">
      <alignment horizontal="center" wrapText="1"/>
    </xf>
    <xf numFmtId="0" fontId="6" fillId="4" borderId="29" xfId="0" applyFont="1" applyFill="1" applyBorder="1" applyAlignment="1">
      <alignment horizontal="center" vertical="top"/>
    </xf>
    <xf numFmtId="0" fontId="6" fillId="4" borderId="29" xfId="0" applyFont="1" applyFill="1" applyBorder="1" applyAlignment="1">
      <alignment horizontal="center" vertical="top" wrapText="1"/>
    </xf>
    <xf numFmtId="0" fontId="20" fillId="0" borderId="29" xfId="0" applyFont="1" applyBorder="1" applyAlignment="1">
      <alignment vertical="center" wrapText="1"/>
    </xf>
    <xf numFmtId="0" fontId="0" fillId="0" borderId="29" xfId="0" applyBorder="1" applyAlignment="1">
      <alignment vertical="center" wrapText="1"/>
    </xf>
    <xf numFmtId="0" fontId="21" fillId="0" borderId="29" xfId="0" applyFont="1" applyBorder="1" applyAlignment="1">
      <alignment vertical="center" wrapText="1"/>
    </xf>
    <xf numFmtId="0" fontId="12" fillId="0" borderId="29" xfId="0" applyFont="1" applyBorder="1" applyAlignment="1">
      <alignment vertical="center" wrapText="1"/>
    </xf>
    <xf numFmtId="0" fontId="22" fillId="0" borderId="29" xfId="0" applyFont="1" applyBorder="1" applyAlignment="1">
      <alignment vertical="center" wrapText="1"/>
    </xf>
    <xf numFmtId="0" fontId="23"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0" fillId="0" borderId="0" xfId="0" applyNumberFormat="1" applyFont="1" applyAlignment="1" applyProtection="1">
      <alignment horizontal="right" vertical="top" wrapText="1"/>
    </xf>
    <xf numFmtId="0" fontId="10" fillId="0" borderId="0" xfId="0" applyFont="1" applyAlignment="1" applyProtection="1">
      <alignment vertical="top" wrapText="1"/>
    </xf>
    <xf numFmtId="0" fontId="12" fillId="0" borderId="0" xfId="0" applyFont="1" applyAlignment="1" applyProtection="1">
      <alignment vertical="top" wrapText="1"/>
    </xf>
    <xf numFmtId="0" fontId="1" fillId="0" borderId="2"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0" fillId="0" borderId="14" xfId="0" applyBorder="1" applyProtection="1"/>
    <xf numFmtId="0" fontId="1" fillId="3" borderId="30" xfId="0" applyFont="1" applyFill="1" applyBorder="1" applyAlignment="1" applyProtection="1">
      <alignment horizontal="right"/>
    </xf>
    <xf numFmtId="0" fontId="6" fillId="4" borderId="29" xfId="0" applyFont="1" applyFill="1" applyBorder="1" applyAlignment="1" applyProtection="1">
      <alignment horizontal="center" vertical="center" wrapText="1"/>
    </xf>
    <xf numFmtId="2" fontId="10" fillId="0" borderId="29" xfId="0" applyNumberFormat="1" applyFont="1" applyBorder="1" applyAlignment="1" applyProtection="1">
      <alignment horizontal="left" vertical="top" wrapText="1"/>
    </xf>
    <xf numFmtId="0" fontId="10" fillId="0" borderId="10" xfId="0" applyFont="1" applyBorder="1" applyAlignment="1" applyProtection="1">
      <alignment vertical="top" wrapText="1"/>
    </xf>
    <xf numFmtId="0" fontId="11" fillId="0" borderId="29" xfId="0" applyFont="1" applyBorder="1" applyAlignment="1" applyProtection="1">
      <alignment horizontal="center" vertical="top" wrapText="1"/>
    </xf>
    <xf numFmtId="0" fontId="11" fillId="0" borderId="0" xfId="0" applyFont="1" applyAlignment="1" applyProtection="1">
      <alignment vertical="center" wrapText="1"/>
    </xf>
    <xf numFmtId="0" fontId="11" fillId="0" borderId="0" xfId="0" applyFont="1" applyAlignment="1" applyProtection="1">
      <alignment vertical="top" wrapText="1"/>
    </xf>
    <xf numFmtId="0" fontId="0" fillId="0" borderId="29" xfId="0" applyBorder="1" applyAlignment="1" applyProtection="1">
      <alignment horizontal="center" vertical="top" wrapText="1"/>
    </xf>
    <xf numFmtId="0" fontId="12" fillId="0" borderId="10" xfId="0" applyFont="1" applyBorder="1" applyAlignment="1" applyProtection="1">
      <alignment vertical="top" wrapText="1"/>
    </xf>
    <xf numFmtId="16" fontId="11"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7" fillId="0" borderId="0" xfId="0" applyFont="1" applyAlignment="1" applyProtection="1">
      <alignment wrapText="1"/>
      <protection locked="0"/>
    </xf>
    <xf numFmtId="0" fontId="10" fillId="0" borderId="0" xfId="0" applyFont="1" applyAlignment="1" applyProtection="1">
      <alignment vertical="top" wrapText="1"/>
      <protection locked="0"/>
    </xf>
    <xf numFmtId="2" fontId="10" fillId="0" borderId="0" xfId="0" applyNumberFormat="1" applyFont="1" applyAlignment="1" applyProtection="1">
      <alignment horizontal="right" vertical="top" wrapText="1"/>
      <protection locked="0"/>
    </xf>
    <xf numFmtId="0" fontId="2"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4" fillId="5" borderId="28" xfId="0" applyFont="1" applyFill="1" applyBorder="1" applyAlignment="1" applyProtection="1">
      <alignment horizontal="left" vertical="center"/>
      <protection locked="0"/>
    </xf>
    <xf numFmtId="0" fontId="20" fillId="0" borderId="0" xfId="0" applyFont="1" applyAlignment="1" applyProtection="1">
      <alignment wrapText="1"/>
      <protection locked="0"/>
    </xf>
    <xf numFmtId="0" fontId="25" fillId="6" borderId="0" xfId="0" applyFont="1" applyFill="1" applyProtection="1">
      <protection locked="0"/>
    </xf>
    <xf numFmtId="0" fontId="25" fillId="6" borderId="0" xfId="0" applyFont="1" applyFill="1" applyAlignment="1" applyProtection="1">
      <alignment wrapText="1"/>
      <protection locked="0"/>
    </xf>
    <xf numFmtId="0" fontId="26" fillId="0" borderId="0" xfId="0" applyFont="1" applyAlignment="1" applyProtection="1">
      <alignment wrapText="1"/>
      <protection locked="0"/>
    </xf>
    <xf numFmtId="0" fontId="27" fillId="0" borderId="0" xfId="0" applyFont="1" applyAlignment="1" applyProtection="1">
      <alignment horizontal="center" vertical="top"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1" fillId="0" borderId="20" xfId="0" applyFont="1" applyBorder="1" applyAlignment="1" applyProtection="1">
      <alignment horizontal="center" wrapText="1"/>
      <protection locked="0"/>
    </xf>
    <xf numFmtId="0" fontId="1" fillId="2" borderId="30" xfId="0" applyFont="1" applyFill="1" applyBorder="1" applyAlignment="1" applyProtection="1">
      <alignment horizontal="center" wrapText="1"/>
    </xf>
    <xf numFmtId="0" fontId="1" fillId="2" borderId="32" xfId="0" applyFont="1" applyFill="1" applyBorder="1" applyAlignment="1" applyProtection="1">
      <alignment horizontal="center" wrapText="1"/>
    </xf>
    <xf numFmtId="0" fontId="1"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4" fillId="2" borderId="7"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3" fillId="2" borderId="10" xfId="0" applyFont="1" applyFill="1" applyBorder="1" applyAlignment="1">
      <alignment horizontal="center"/>
    </xf>
    <xf numFmtId="0" fontId="3" fillId="2" borderId="18" xfId="0" applyFont="1" applyFill="1" applyBorder="1" applyAlignment="1">
      <alignment horizontal="center"/>
    </xf>
    <xf numFmtId="0" fontId="0" fillId="0" borderId="14" xfId="0" applyBorder="1"/>
    <xf numFmtId="0" fontId="0" fillId="0" borderId="0" xfId="0"/>
    <xf numFmtId="0" fontId="0" fillId="0" borderId="15" xfId="0" applyBorder="1"/>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3" xfId="0" applyBorder="1"/>
    <xf numFmtId="0" fontId="0" fillId="0" borderId="16" xfId="0" applyBorder="1"/>
    <xf numFmtId="0" fontId="0" fillId="0" borderId="20" xfId="0" applyBorder="1"/>
    <xf numFmtId="0" fontId="0" fillId="0" borderId="21" xfId="0" applyBorder="1"/>
    <xf numFmtId="0" fontId="9" fillId="4" borderId="10" xfId="0" applyFont="1" applyFill="1" applyBorder="1" applyAlignment="1" applyProtection="1">
      <alignment horizontal="center" vertical="center" wrapText="1"/>
    </xf>
    <xf numFmtId="0" fontId="9" fillId="4" borderId="28" xfId="0" applyFont="1" applyFill="1" applyBorder="1" applyAlignment="1" applyProtection="1">
      <alignment horizontal="center" vertical="center" wrapText="1"/>
    </xf>
    <xf numFmtId="0" fontId="6" fillId="5" borderId="29" xfId="0" applyFont="1" applyFill="1" applyBorder="1" applyAlignment="1">
      <alignment horizontal="center" vertical="top" wrapText="1"/>
    </xf>
    <xf numFmtId="0" fontId="8" fillId="0" borderId="10" xfId="0" applyFont="1" applyBorder="1" applyAlignment="1" applyProtection="1">
      <alignment horizontal="left"/>
    </xf>
    <xf numFmtId="0" fontId="8" fillId="0" borderId="27" xfId="0" applyFont="1" applyBorder="1" applyAlignment="1" applyProtection="1">
      <alignment horizontal="left"/>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topLeftCell="A47" zoomScale="125" zoomScaleNormal="125" workbookViewId="0">
      <pane xSplit="1" topLeftCell="B1" activePane="topRight" state="frozen"/>
      <selection pane="topRight" activeCell="D49" sqref="D49"/>
    </sheetView>
  </sheetViews>
  <sheetFormatPr defaultColWidth="9.140625" defaultRowHeight="15" x14ac:dyDescent="0.2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x14ac:dyDescent="0.25">
      <c r="A1" s="27" t="s">
        <v>0</v>
      </c>
      <c r="B1" s="85" t="s">
        <v>1</v>
      </c>
      <c r="C1" s="56"/>
      <c r="D1" s="56"/>
      <c r="E1" s="57"/>
      <c r="F1" s="102" t="s">
        <v>2</v>
      </c>
      <c r="G1" s="56"/>
    </row>
    <row r="2" spans="1:8" s="17" customFormat="1" ht="30.75" customHeight="1" x14ac:dyDescent="0.25">
      <c r="A2" s="18" t="s">
        <v>3</v>
      </c>
      <c r="B2" s="18" t="s">
        <v>4</v>
      </c>
      <c r="C2" s="18" t="s">
        <v>5</v>
      </c>
      <c r="D2" s="18" t="s">
        <v>6</v>
      </c>
      <c r="E2" s="88" t="s">
        <v>7</v>
      </c>
      <c r="F2" s="18" t="s">
        <v>8</v>
      </c>
      <c r="G2" s="18" t="s">
        <v>9</v>
      </c>
      <c r="H2" s="103"/>
    </row>
    <row r="3" spans="1:8" x14ac:dyDescent="0.25">
      <c r="A3" s="66">
        <v>1.01</v>
      </c>
      <c r="B3" s="67" t="s">
        <v>10</v>
      </c>
      <c r="C3" s="56" t="s">
        <v>11</v>
      </c>
      <c r="D3" s="59">
        <f>IF(C3="Y",-3,IF(C3="N",0," "))</f>
        <v>0</v>
      </c>
      <c r="E3" s="57"/>
      <c r="F3" s="99" t="s">
        <v>12</v>
      </c>
      <c r="G3" s="64"/>
    </row>
    <row r="4" spans="1:8" ht="30" x14ac:dyDescent="0.25">
      <c r="A4" s="66">
        <v>1.02</v>
      </c>
      <c r="B4" s="67" t="s">
        <v>13</v>
      </c>
      <c r="C4" s="56"/>
      <c r="D4" s="59" t="str">
        <f>IF(C4="n",VLOOKUP(LUT!C5,LUT!C4:E52,2),IF(C4="y",VLOOKUP(LUT!C5,LUT!C4:E52,3)," "))</f>
        <v xml:space="preserve"> </v>
      </c>
      <c r="E4" s="57"/>
      <c r="F4" s="64"/>
      <c r="G4" s="64"/>
    </row>
    <row r="5" spans="1:8" x14ac:dyDescent="0.25">
      <c r="A5" s="66">
        <v>1.03</v>
      </c>
      <c r="B5" s="67" t="s">
        <v>14</v>
      </c>
      <c r="C5" s="56"/>
      <c r="D5" s="59" t="str">
        <f>IF(C5="Y",1,IF(C5="N",-1," "))</f>
        <v xml:space="preserve"> </v>
      </c>
      <c r="E5" s="57"/>
      <c r="F5" s="64"/>
      <c r="G5" s="64"/>
    </row>
    <row r="6" spans="1:8" ht="75" x14ac:dyDescent="0.25">
      <c r="A6" s="66">
        <v>2.0099999999999998</v>
      </c>
      <c r="B6" s="67" t="s">
        <v>15</v>
      </c>
      <c r="C6" s="56">
        <v>3</v>
      </c>
      <c r="D6" s="60"/>
      <c r="E6" s="57"/>
      <c r="F6" s="99" t="s">
        <v>16</v>
      </c>
      <c r="G6" s="64" t="s">
        <v>17</v>
      </c>
    </row>
    <row r="7" spans="1:8" ht="30" x14ac:dyDescent="0.25">
      <c r="A7" s="66">
        <v>2.02</v>
      </c>
      <c r="B7" s="67" t="s">
        <v>18</v>
      </c>
      <c r="C7" s="56">
        <v>3</v>
      </c>
      <c r="D7" s="60"/>
      <c r="E7" s="57"/>
      <c r="F7" s="99" t="s">
        <v>19</v>
      </c>
      <c r="G7" s="64"/>
    </row>
    <row r="8" spans="1:8" ht="30" x14ac:dyDescent="0.25">
      <c r="A8" s="66">
        <v>2.0299999999999998</v>
      </c>
      <c r="B8" s="67" t="s">
        <v>20</v>
      </c>
      <c r="C8" s="56" t="s">
        <v>11</v>
      </c>
      <c r="D8" s="59">
        <f>IF(C8="y",1,IF(C8="n",0," "))</f>
        <v>0</v>
      </c>
      <c r="E8" s="57"/>
      <c r="F8" s="99" t="s">
        <v>19</v>
      </c>
      <c r="G8" s="99"/>
    </row>
    <row r="9" spans="1:8" ht="120" x14ac:dyDescent="0.25">
      <c r="A9" s="66">
        <v>2.04</v>
      </c>
      <c r="B9" s="67" t="s">
        <v>21</v>
      </c>
      <c r="C9" s="56" t="s">
        <v>22</v>
      </c>
      <c r="D9" s="59">
        <f>IF(C9="y",1,IF(C9="n",0," "))</f>
        <v>1</v>
      </c>
      <c r="E9" s="57"/>
      <c r="F9" s="99" t="s">
        <v>19</v>
      </c>
      <c r="G9" s="99"/>
    </row>
    <row r="10" spans="1:8" ht="30" x14ac:dyDescent="0.25">
      <c r="A10" s="66">
        <v>2.0499999999999998</v>
      </c>
      <c r="B10" s="67" t="s">
        <v>23</v>
      </c>
      <c r="C10" s="56" t="s">
        <v>22</v>
      </c>
      <c r="D10" s="60"/>
      <c r="E10" s="57"/>
      <c r="F10" s="58" t="s">
        <v>24</v>
      </c>
      <c r="G10" s="58" t="s">
        <v>25</v>
      </c>
    </row>
    <row r="11" spans="1:8" x14ac:dyDescent="0.25">
      <c r="A11" s="66">
        <v>3.01</v>
      </c>
      <c r="B11" s="67" t="s">
        <v>26</v>
      </c>
      <c r="C11" s="56" t="s">
        <v>22</v>
      </c>
      <c r="D11" s="59">
        <f>IF(C11="n",LOOKUP($C$10,LUT!$I$13:$L$13,LUT!$I$14:$L$14),IF(AND(C11="y",AND($C$6=1,$C$7=1)),2,IF(AND(C11="y",AND($C$6=1,$C$7=2)),1,IF(AND(C11="y",AND($C$6=1,$C$7=3)),1,IF(AND(C11="y",AND($C$6=2,$C$7=1)),2,IF(AND(C11="y",AND($C$6=2,$C$7=2)),2,IF(AND(C11="y",AND($C$6=2,$C$7=3)),1,IF(AND(C11="y",AND($C$6=3,$C$7=1)),2,IF(AND(C11="y",AND($C$6=3,$C$7=2)),2,IF(AND(C11="y",AND($C$6=3,$C$7=3)),2,""))))))))))</f>
        <v>2</v>
      </c>
      <c r="E11" s="57"/>
      <c r="F11" s="58" t="s">
        <v>27</v>
      </c>
      <c r="G11" s="58" t="s">
        <v>28</v>
      </c>
    </row>
    <row r="12" spans="1:8" ht="60" x14ac:dyDescent="0.25">
      <c r="A12" s="66">
        <v>3.02</v>
      </c>
      <c r="B12" s="67" t="s">
        <v>29</v>
      </c>
      <c r="C12" s="56" t="s">
        <v>22</v>
      </c>
      <c r="D12" s="59">
        <f>IF(C12="n",LOOKUP($C$10,LUT!$I$13:$L$13,LUT!$I$15:$L$15),IF(AND(C12="y",AND($C$6=1,$C$7=1)),2,IF(AND(C12="y",AND($C$6=1,$C$7=2)),1,IF(AND(C12="y",AND($C$6=1,$C$7=3)),1,IF(AND(C12="y",AND($C$6=2,$C$7=1)),2,IF(AND(C12="y",AND($C$6=2,$C$7=2)),2,IF(AND(C12="y",AND($C$6=2,$C$7=3)),1,IF(AND(C12="y",AND($C$6=3,$C$7=1)),2,IF(AND(C12="y",AND($C$6=3,$C$7=2)),2,IF(AND(C12="y",AND($C$6=3,$C$7=3)),2,""))))))))))</f>
        <v>2</v>
      </c>
      <c r="E12" s="57"/>
      <c r="F12" s="101" t="s">
        <v>30</v>
      </c>
      <c r="G12" s="56" t="s">
        <v>31</v>
      </c>
    </row>
    <row r="13" spans="1:8" x14ac:dyDescent="0.25">
      <c r="A13" s="66">
        <v>3.03</v>
      </c>
      <c r="B13" s="67" t="s">
        <v>32</v>
      </c>
      <c r="C13" s="56" t="s">
        <v>33</v>
      </c>
      <c r="D13" s="59" t="str">
        <f>IF(C13="n",LOOKUP($C$10,LUT!$I$13:$L$13,LUT!$I$15:$L$15),IF(AND(C13="y",AND($C$6=1,$C$7=1)),4,IF(AND(C13="y",AND($C$6=1,$C$7=2)),2,IF(AND(C13="y",AND($C$6=1,$C$7=3)),1,IF(AND(C13="y",AND($C$6=2,$C$7=1)),4,IF(AND(C13="y",AND($C$6=2,$C$7=2)),3,IF(AND(C13="y",AND($C$6=2,$C$7=3)),2,IF(AND(C13="y",AND($C$6=3,$C$7=1)),4,IF(AND(C13="y",AND($C$6=3,$C$7=2)),4,IF(AND(C13="y",AND($C$6=3,$C$7=3)),4,""))))))))))</f>
        <v/>
      </c>
      <c r="E13" s="57"/>
      <c r="F13" s="100" t="s">
        <v>34</v>
      </c>
      <c r="G13" s="64"/>
    </row>
    <row r="14" spans="1:8" ht="60" x14ac:dyDescent="0.25">
      <c r="A14" s="66">
        <v>3.04</v>
      </c>
      <c r="B14" s="67" t="s">
        <v>35</v>
      </c>
      <c r="C14" s="56" t="s">
        <v>33</v>
      </c>
      <c r="D14" s="59" t="str">
        <f>IF(C14="n",LOOKUP($C$10,LUT!$I$13:$L$13,LUT!$I$15:$L$15),IF(AND(C14="y",AND($C$6=1,$C$7=1)),4,IF(AND(C14="y",AND($C$6=1,$C$7=2)),2,IF(AND(C14="y",AND($C$6=1,$C$7=3)),1,IF(AND(C14="y",AND($C$6=2,$C$7=1)),4,IF(AND(C14="y",AND($C$6=2,$C$7=2)),3,IF(AND(C14="y",AND($C$6=2,$C$7=3)),2,IF(AND(C14="y",AND($C$6=3,$C$7=1)),4,IF(AND(C14="y",AND($C$6=3,$C$7=2)),4,IF(AND(C14="y",AND($C$6=3,$C$7=3)),4,""))))))))))</f>
        <v/>
      </c>
      <c r="E14" s="57"/>
      <c r="F14" s="64" t="s">
        <v>36</v>
      </c>
      <c r="G14" s="64" t="s">
        <v>37</v>
      </c>
    </row>
    <row r="15" spans="1:8" ht="90" x14ac:dyDescent="0.25">
      <c r="A15" s="66">
        <v>3.05</v>
      </c>
      <c r="B15" s="67" t="s">
        <v>38</v>
      </c>
      <c r="C15" s="56" t="s">
        <v>22</v>
      </c>
      <c r="D15" s="59">
        <f>IF(C15="n",LOOKUP($C$10,LUT!$I$13:$L$13,LUT!$I$15:$L$15),IF(AND(C15="y",AND($C$6=1,$C$7=1)),2,IF(AND(C15="y",AND($C$6=1,$C$7=2)),1,IF(AND(C15="y",AND($C$6=1,$C$7=3)),1,IF(AND(C15="y",AND($C$6=2,$C$7=1)),2,IF(AND(C15="y",AND($C$6=2,$C$7=2)),2,IF(AND(C15="y",AND($C$6=2,$C$7=3)),1,IF(AND(C15="y",AND($C$6=3,$C$7=1)),2,IF(AND(C15="y",AND($C$6=3,$C$7=2)),2,IF(AND(C15="y",AND($C$6=3,$C$7=3)),2,""))))))))))</f>
        <v>2</v>
      </c>
      <c r="E15" s="57"/>
      <c r="F15" s="64" t="s">
        <v>39</v>
      </c>
      <c r="G15" s="64" t="s">
        <v>40</v>
      </c>
    </row>
    <row r="16" spans="1:8" x14ac:dyDescent="0.25">
      <c r="A16" s="66">
        <v>4.01</v>
      </c>
      <c r="B16" s="67" t="s">
        <v>41</v>
      </c>
      <c r="C16" s="56" t="s">
        <v>11</v>
      </c>
      <c r="D16" s="59">
        <f>IF(C16="y",VLOOKUP(LUT!C17,LUT!$C$4:$E$52,3),IF(C16="n",VLOOKUP(LUT!C17,LUT!$C$4:$E$52,2)," "))</f>
        <v>0</v>
      </c>
      <c r="E16" s="57"/>
      <c r="F16" s="64" t="s">
        <v>12</v>
      </c>
      <c r="G16" s="64"/>
    </row>
    <row r="17" spans="1:7" x14ac:dyDescent="0.25">
      <c r="A17" s="66">
        <v>4.0199999999999996</v>
      </c>
      <c r="B17" s="67" t="s">
        <v>42</v>
      </c>
      <c r="C17" s="56" t="s">
        <v>33</v>
      </c>
      <c r="D17" s="59" t="str">
        <f>IF(C17="y",VLOOKUP(LUT!C18,LUT!C4:E52,3),IF(C17="n",VLOOKUP(LUT!C18,LUT!C4:E52,2)," "))</f>
        <v xml:space="preserve"> </v>
      </c>
      <c r="E17" s="57"/>
      <c r="F17" s="64" t="s">
        <v>43</v>
      </c>
      <c r="G17" s="64"/>
    </row>
    <row r="18" spans="1:7" x14ac:dyDescent="0.25">
      <c r="A18" s="66">
        <v>4.03</v>
      </c>
      <c r="B18" s="67" t="s">
        <v>44</v>
      </c>
      <c r="C18" s="56" t="s">
        <v>11</v>
      </c>
      <c r="D18" s="59">
        <f>IF(C18="y",VLOOKUP(LUT!C19,LUT!$C$4:$E$52,3),IF(C18="n",VLOOKUP(LUT!C19,LUT!$C$4:$E$52,2)," "))</f>
        <v>0</v>
      </c>
      <c r="E18" s="57"/>
      <c r="F18" s="64" t="s">
        <v>12</v>
      </c>
      <c r="G18" s="64"/>
    </row>
    <row r="19" spans="1:7" ht="135" x14ac:dyDescent="0.25">
      <c r="A19" s="66">
        <v>4.04</v>
      </c>
      <c r="B19" s="67" t="s">
        <v>45</v>
      </c>
      <c r="C19" s="56" t="s">
        <v>11</v>
      </c>
      <c r="D19" s="59">
        <f>IF(C19="y",VLOOKUP(LUT!C20,LUT!$C$4:$E$52,3),IF(C19="n",VLOOKUP(LUT!C20,LUT!$C$4:$E$52,2)," "))</f>
        <v>-1</v>
      </c>
      <c r="E19" s="57"/>
      <c r="F19" s="64" t="s">
        <v>46</v>
      </c>
      <c r="G19" s="64" t="s">
        <v>47</v>
      </c>
    </row>
    <row r="20" spans="1:7" x14ac:dyDescent="0.25">
      <c r="A20" s="66">
        <v>4.05</v>
      </c>
      <c r="B20" s="67" t="s">
        <v>48</v>
      </c>
      <c r="C20" s="56" t="s">
        <v>11</v>
      </c>
      <c r="D20" s="59">
        <f>IF(C20="y",VLOOKUP(LUT!C21,LUT!$C$4:$E$52,3),IF(C20="n",VLOOKUP(LUT!C21,LUT!$C$4:$E$52,2)," "))</f>
        <v>0</v>
      </c>
      <c r="E20" s="57"/>
      <c r="F20" s="64" t="s">
        <v>12</v>
      </c>
      <c r="G20" s="64"/>
    </row>
    <row r="21" spans="1:7" ht="45" x14ac:dyDescent="0.25">
      <c r="A21" s="66">
        <v>4.0599999999999996</v>
      </c>
      <c r="B21" s="67" t="s">
        <v>49</v>
      </c>
      <c r="C21" s="56" t="s">
        <v>33</v>
      </c>
      <c r="D21" s="59" t="str">
        <f>IF(C21="y",VLOOKUP(LUT!C22,LUT!$C$4:$E$52,3),IF(C21="n",VLOOKUP(LUT!C22,LUT!$C$4:$E$52,2)," "))</f>
        <v xml:space="preserve"> </v>
      </c>
      <c r="E21" s="57"/>
      <c r="F21" s="64" t="s">
        <v>50</v>
      </c>
      <c r="G21" s="64" t="s">
        <v>51</v>
      </c>
    </row>
    <row r="22" spans="1:7" x14ac:dyDescent="0.25">
      <c r="A22" s="66">
        <v>4.07</v>
      </c>
      <c r="B22" s="67" t="s">
        <v>52</v>
      </c>
      <c r="C22" s="56" t="s">
        <v>11</v>
      </c>
      <c r="D22" s="59">
        <f>IF(C22="y",VLOOKUP(LUT!C23,LUT!$C$4:$E$52,3),IF(C22="n",VLOOKUP(LUT!C23,LUT!$C$4:$E$52,2)," "))</f>
        <v>0</v>
      </c>
      <c r="E22" s="57"/>
      <c r="F22" s="64" t="s">
        <v>12</v>
      </c>
      <c r="G22" s="64"/>
    </row>
    <row r="23" spans="1:7" ht="45" x14ac:dyDescent="0.25">
      <c r="A23" s="66">
        <v>4.08</v>
      </c>
      <c r="B23" s="67" t="s">
        <v>53</v>
      </c>
      <c r="C23" s="56" t="s">
        <v>33</v>
      </c>
      <c r="D23" s="59" t="str">
        <f>IF(C23="y",VLOOKUP(LUT!C24,LUT!$C$4:$E$52,3),IF(C23="n",VLOOKUP(LUT!C24,LUT!$C$4:$E$52,2)," "))</f>
        <v xml:space="preserve"> </v>
      </c>
      <c r="E23" s="57"/>
      <c r="F23" s="64" t="s">
        <v>54</v>
      </c>
      <c r="G23" s="64" t="s">
        <v>55</v>
      </c>
    </row>
    <row r="24" spans="1:7" ht="105" x14ac:dyDescent="0.25">
      <c r="A24" s="66">
        <v>4.09</v>
      </c>
      <c r="B24" s="67" t="s">
        <v>56</v>
      </c>
      <c r="C24" s="56" t="s">
        <v>33</v>
      </c>
      <c r="D24" s="59" t="str">
        <f>IF(C24="y",VLOOKUP(LUT!C25,LUT!$C$4:$E$52,3),IF(C24="n",VLOOKUP(LUT!C25,LUT!$C$4:$E$52,2)," "))</f>
        <v xml:space="preserve"> </v>
      </c>
      <c r="E24" s="57"/>
      <c r="F24" s="64" t="s">
        <v>57</v>
      </c>
      <c r="G24" s="64" t="s">
        <v>58</v>
      </c>
    </row>
    <row r="25" spans="1:7" ht="75" x14ac:dyDescent="0.25">
      <c r="A25" s="66">
        <v>4.0999999999999996</v>
      </c>
      <c r="B25" s="68" t="s">
        <v>59</v>
      </c>
      <c r="C25" s="56" t="s">
        <v>22</v>
      </c>
      <c r="D25" s="59">
        <f>IF(C25="y",VLOOKUP(LUT!C26,LUT!$C$4:$E$52,3),IF(C25="n",VLOOKUP(LUT!C26,LUT!$C$4:$E$52,2)," "))</f>
        <v>1</v>
      </c>
      <c r="E25" s="57"/>
      <c r="F25" s="64" t="s">
        <v>60</v>
      </c>
      <c r="G25" s="64" t="s">
        <v>61</v>
      </c>
    </row>
    <row r="26" spans="1:7" x14ac:dyDescent="0.25">
      <c r="A26" s="66">
        <v>4.1100000000000003</v>
      </c>
      <c r="B26" s="67" t="s">
        <v>62</v>
      </c>
      <c r="C26" s="56" t="s">
        <v>11</v>
      </c>
      <c r="D26" s="59">
        <f>IF(C26="y",VLOOKUP(LUT!C27,LUT!$C$4:$E$52,3),IF(C26="n",VLOOKUP(LUT!C27,LUT!$C$4:$E$52,2)," "))</f>
        <v>0</v>
      </c>
      <c r="E26" s="57"/>
      <c r="F26" s="64" t="s">
        <v>12</v>
      </c>
      <c r="G26" s="64"/>
    </row>
    <row r="27" spans="1:7" ht="30" x14ac:dyDescent="0.25">
      <c r="A27" s="66">
        <v>4.12</v>
      </c>
      <c r="B27" s="67" t="s">
        <v>63</v>
      </c>
      <c r="C27" s="56" t="s">
        <v>11</v>
      </c>
      <c r="D27" s="59">
        <f>IF(C27="y",VLOOKUP(LUT!C28,LUT!$C$4:$E$52,3),IF(C27="n",VLOOKUP(LUT!C28,LUT!$C$4:$E$52,2)," "))</f>
        <v>0</v>
      </c>
      <c r="E27" s="57"/>
      <c r="F27" s="64" t="s">
        <v>64</v>
      </c>
      <c r="G27" s="64"/>
    </row>
    <row r="28" spans="1:7" x14ac:dyDescent="0.25">
      <c r="A28" s="66">
        <v>5.01</v>
      </c>
      <c r="B28" s="67" t="s">
        <v>65</v>
      </c>
      <c r="C28" s="56" t="s">
        <v>11</v>
      </c>
      <c r="D28" s="59">
        <f>IF(C28="y",VLOOKUP(LUT!C29,LUT!$C$4:$E$52,3),IF(C28="n",VLOOKUP(LUT!C29,LUT!$C$4:$E$52,2)," "))</f>
        <v>0</v>
      </c>
      <c r="E28" s="57"/>
      <c r="F28" s="64" t="s">
        <v>12</v>
      </c>
      <c r="G28" s="64"/>
    </row>
    <row r="29" spans="1:7" x14ac:dyDescent="0.25">
      <c r="A29" s="66">
        <v>5.0199999999999996</v>
      </c>
      <c r="B29" s="67" t="s">
        <v>66</v>
      </c>
      <c r="C29" s="56" t="s">
        <v>11</v>
      </c>
      <c r="D29" s="59">
        <f>IF(C29="y",VLOOKUP(LUT!C30,LUT!$C$4:$E$52,3),IF(C29="n",VLOOKUP(LUT!C30,LUT!$C$4:$E$52,2)," "))</f>
        <v>0</v>
      </c>
      <c r="E29" s="57"/>
      <c r="F29" s="64" t="s">
        <v>67</v>
      </c>
      <c r="G29" s="64"/>
    </row>
    <row r="30" spans="1:7" x14ac:dyDescent="0.25">
      <c r="A30" s="66">
        <v>5.03</v>
      </c>
      <c r="B30" s="67" t="s">
        <v>68</v>
      </c>
      <c r="C30" s="56" t="s">
        <v>22</v>
      </c>
      <c r="D30" s="59">
        <f>IF(C30="y",VLOOKUP(LUT!C31,LUT!$C$4:$E$52,3),IF(C30="n",VLOOKUP(LUT!C31,LUT!$C$4:$E$52,2)," "))</f>
        <v>1</v>
      </c>
      <c r="E30" s="57"/>
      <c r="F30" s="64" t="s">
        <v>69</v>
      </c>
      <c r="G30" s="64"/>
    </row>
    <row r="31" spans="1:7" ht="30" x14ac:dyDescent="0.25">
      <c r="A31" s="66">
        <v>5.04</v>
      </c>
      <c r="B31" s="67" t="s">
        <v>70</v>
      </c>
      <c r="C31" s="56" t="s">
        <v>11</v>
      </c>
      <c r="D31" s="59">
        <f>IF(C31="y",VLOOKUP(LUT!C32,LUT!$C$4:$E$52,3),IF(C31="n",VLOOKUP(LUT!C32,LUT!$C$4:$E$52,2)," "))</f>
        <v>0</v>
      </c>
      <c r="E31" s="57"/>
      <c r="F31" s="64" t="s">
        <v>64</v>
      </c>
      <c r="G31" s="64"/>
    </row>
    <row r="32" spans="1:7" ht="30" x14ac:dyDescent="0.25">
      <c r="A32" s="66">
        <v>6.01</v>
      </c>
      <c r="B32" s="67" t="s">
        <v>71</v>
      </c>
      <c r="C32" s="56" t="s">
        <v>11</v>
      </c>
      <c r="D32" s="59">
        <f>IF(C32="y",VLOOKUP(LUT!C33,LUT!$C$4:$E$52,3),IF(C32="n",VLOOKUP(LUT!C33,LUT!$C$4:$E$52,2)," "))</f>
        <v>0</v>
      </c>
      <c r="E32" s="57"/>
      <c r="F32" s="64" t="s">
        <v>12</v>
      </c>
      <c r="G32" s="64"/>
    </row>
    <row r="33" spans="1:7" ht="120" x14ac:dyDescent="0.25">
      <c r="A33" s="66">
        <v>6.02</v>
      </c>
      <c r="B33" s="67" t="s">
        <v>72</v>
      </c>
      <c r="C33" s="56" t="s">
        <v>22</v>
      </c>
      <c r="D33" s="59">
        <f>IF(C33="y",VLOOKUP(LUT!C34,LUT!$C$4:$E$52,3),IF(C33="n",VLOOKUP(LUT!C34,LUT!$C$4:$E$52,2)," "))</f>
        <v>1</v>
      </c>
      <c r="E33" s="57"/>
      <c r="F33" s="64" t="s">
        <v>73</v>
      </c>
      <c r="G33" s="64" t="s">
        <v>74</v>
      </c>
    </row>
    <row r="34" spans="1:7" ht="135" x14ac:dyDescent="0.25">
      <c r="A34" s="66">
        <v>6.03</v>
      </c>
      <c r="B34" s="67" t="s">
        <v>75</v>
      </c>
      <c r="C34" s="56" t="s">
        <v>22</v>
      </c>
      <c r="D34" s="59">
        <f>IF(C34="y",VLOOKUP(LUT!C35,LUT!$C$4:$E$52,3),IF(C34="n",VLOOKUP(LUT!C35,LUT!$C$4:$E$52,2)," "))</f>
        <v>1</v>
      </c>
      <c r="E34" s="57"/>
      <c r="F34" s="64" t="s">
        <v>76</v>
      </c>
      <c r="G34" s="64" t="s">
        <v>77</v>
      </c>
    </row>
    <row r="35" spans="1:7" ht="105" x14ac:dyDescent="0.25">
      <c r="A35" s="66">
        <v>6.04</v>
      </c>
      <c r="B35" s="67" t="s">
        <v>78</v>
      </c>
      <c r="C35" s="56" t="s">
        <v>22</v>
      </c>
      <c r="D35" s="59">
        <f>IF(C35="y",VLOOKUP(LUT!C36,LUT!$C$4:$E$52,3),IF(C35="n",VLOOKUP(LUT!C36,LUT!$C$4:$E$52,2)," "))</f>
        <v>1</v>
      </c>
      <c r="E35" s="57"/>
      <c r="F35" s="64" t="s">
        <v>79</v>
      </c>
      <c r="G35" s="64" t="s">
        <v>80</v>
      </c>
    </row>
    <row r="36" spans="1:7" ht="105" x14ac:dyDescent="0.25">
      <c r="A36" s="66">
        <v>6.05</v>
      </c>
      <c r="B36" s="67" t="s">
        <v>81</v>
      </c>
      <c r="C36" s="56" t="s">
        <v>11</v>
      </c>
      <c r="D36" s="59">
        <f>IF(C36="y",VLOOKUP(LUT!C37,LUT!$C$4:$E$52,3),IF(C36="n",VLOOKUP(LUT!C37,LUT!$C$4:$E$52,2)," "))</f>
        <v>0</v>
      </c>
      <c r="E36" s="57"/>
      <c r="F36" s="64" t="s">
        <v>82</v>
      </c>
      <c r="G36" s="64" t="s">
        <v>80</v>
      </c>
    </row>
    <row r="37" spans="1:7" ht="30" x14ac:dyDescent="0.25">
      <c r="A37" s="66">
        <v>6.06</v>
      </c>
      <c r="B37" s="67" t="s">
        <v>83</v>
      </c>
      <c r="C37" s="56" t="s">
        <v>33</v>
      </c>
      <c r="D37" s="59" t="str">
        <f>IF(C37="y",VLOOKUP(LUT!C38,LUT!$C$4:$E$52,3),IF(C37="n",VLOOKUP(LUT!C38,LUT!$C$4:$E$52,2)," "))</f>
        <v xml:space="preserve"> </v>
      </c>
      <c r="E37" s="57"/>
      <c r="F37" s="64" t="s">
        <v>84</v>
      </c>
      <c r="G37" s="64" t="s">
        <v>85</v>
      </c>
    </row>
    <row r="38" spans="1:7" x14ac:dyDescent="0.25">
      <c r="A38" s="66">
        <v>6.07</v>
      </c>
      <c r="B38" s="67" t="s">
        <v>86</v>
      </c>
      <c r="C38" s="84" t="s">
        <v>33</v>
      </c>
      <c r="D38" s="59" t="str">
        <f>IF(C38="1 or fewer",1,IF(C38="2 or 3",0,IF(C38&gt;="4 or more",-1," ")))</f>
        <v xml:space="preserve"> </v>
      </c>
      <c r="E38" s="57"/>
      <c r="F38" s="64" t="s">
        <v>87</v>
      </c>
      <c r="G38" s="64"/>
    </row>
    <row r="39" spans="1:7" ht="60" x14ac:dyDescent="0.25">
      <c r="A39" s="66">
        <v>7.01</v>
      </c>
      <c r="B39" s="67" t="s">
        <v>88</v>
      </c>
      <c r="C39" s="56" t="s">
        <v>22</v>
      </c>
      <c r="D39" s="59">
        <f>IF(C39="y",VLOOKUP(LUT!C40,LUT!$C$4:$E$52,3),IF(C39="n",VLOOKUP(LUT!C40,LUT!$C$4:$E$52,2)," "))</f>
        <v>1</v>
      </c>
      <c r="E39" s="57"/>
      <c r="F39" s="101" t="s">
        <v>89</v>
      </c>
      <c r="G39" s="56" t="s">
        <v>90</v>
      </c>
    </row>
    <row r="40" spans="1:7" ht="135" x14ac:dyDescent="0.25">
      <c r="A40" s="66">
        <v>7.02</v>
      </c>
      <c r="B40" s="67" t="s">
        <v>91</v>
      </c>
      <c r="C40" s="56" t="s">
        <v>22</v>
      </c>
      <c r="D40" s="59">
        <f>IF(C40="y",VLOOKUP(LUT!C41,LUT!$C$4:$E$52,3),IF(C40="n",VLOOKUP(LUT!C41,LUT!$C$4:$E$52,2)," "))</f>
        <v>1</v>
      </c>
      <c r="E40" s="57"/>
      <c r="F40" s="64" t="s">
        <v>46</v>
      </c>
      <c r="G40" s="64" t="s">
        <v>47</v>
      </c>
    </row>
    <row r="41" spans="1:7" ht="150" x14ac:dyDescent="0.25">
      <c r="A41" s="66">
        <v>7.03</v>
      </c>
      <c r="B41" s="67" t="s">
        <v>92</v>
      </c>
      <c r="C41" s="56" t="s">
        <v>22</v>
      </c>
      <c r="D41" s="59">
        <f>IF(C41="y",VLOOKUP(LUT!C42,LUT!$C$4:$E$52,3),IF(C41="n",VLOOKUP(LUT!C42,LUT!$C$4:$E$52,2)," "))</f>
        <v>1</v>
      </c>
      <c r="E41" s="57"/>
      <c r="F41" s="64" t="s">
        <v>93</v>
      </c>
      <c r="G41" s="64" t="s">
        <v>94</v>
      </c>
    </row>
    <row r="42" spans="1:7" x14ac:dyDescent="0.25">
      <c r="A42" s="66">
        <v>7.04</v>
      </c>
      <c r="B42" s="67" t="s">
        <v>95</v>
      </c>
      <c r="C42" s="56" t="s">
        <v>11</v>
      </c>
      <c r="D42" s="59">
        <f>IF(C42="y",VLOOKUP(LUT!C43,LUT!$C$4:$E$52,3),IF(C42="n",VLOOKUP(LUT!C43,LUT!$C$4:$E$52,2)," "))</f>
        <v>-1</v>
      </c>
      <c r="E42" s="57"/>
      <c r="F42" s="64" t="s">
        <v>12</v>
      </c>
      <c r="G42" s="64"/>
    </row>
    <row r="43" spans="1:7" x14ac:dyDescent="0.25">
      <c r="A43" s="66">
        <v>7.05</v>
      </c>
      <c r="B43" s="67" t="s">
        <v>96</v>
      </c>
      <c r="C43" s="56" t="s">
        <v>33</v>
      </c>
      <c r="D43" s="59" t="str">
        <f>IF(C43="y",VLOOKUP(LUT!C44,LUT!$C$4:$E$52,3),IF(C43="n",VLOOKUP(LUT!C44,LUT!$C$4:$E$52,2)," "))</f>
        <v xml:space="preserve"> </v>
      </c>
      <c r="E43" s="57"/>
      <c r="F43" s="64" t="s">
        <v>97</v>
      </c>
      <c r="G43" s="64"/>
    </row>
    <row r="44" spans="1:7" ht="120" x14ac:dyDescent="0.25">
      <c r="A44" s="66">
        <v>7.06</v>
      </c>
      <c r="B44" s="67" t="s">
        <v>98</v>
      </c>
      <c r="C44" s="56" t="s">
        <v>22</v>
      </c>
      <c r="D44" s="59">
        <f>IF(C44="y",VLOOKUP(LUT!C45,LUT!$C$4:$E$52,3),IF(C44="n",VLOOKUP(LUT!C45,LUT!$C$4:$E$52,2)," "))</f>
        <v>1</v>
      </c>
      <c r="E44" s="57"/>
      <c r="F44" s="64" t="s">
        <v>99</v>
      </c>
      <c r="G44" s="64" t="s">
        <v>100</v>
      </c>
    </row>
    <row r="45" spans="1:7" ht="120" x14ac:dyDescent="0.25">
      <c r="A45" s="66">
        <v>7.07</v>
      </c>
      <c r="B45" s="67" t="s">
        <v>101</v>
      </c>
      <c r="C45" s="56" t="s">
        <v>22</v>
      </c>
      <c r="D45" s="59">
        <f>IF(C45="y",VLOOKUP(LUT!C46,LUT!$C$4:$E$52,3),IF(C45="n",VLOOKUP(LUT!C46,LUT!$C$4:$E$52,2)," "))</f>
        <v>1</v>
      </c>
      <c r="E45" s="57"/>
      <c r="F45" s="64" t="s">
        <v>99</v>
      </c>
      <c r="G45" s="64" t="s">
        <v>100</v>
      </c>
    </row>
    <row r="46" spans="1:7" ht="30" x14ac:dyDescent="0.25">
      <c r="A46" s="66">
        <v>7.08</v>
      </c>
      <c r="B46" s="67" t="s">
        <v>102</v>
      </c>
      <c r="C46" s="56" t="s">
        <v>33</v>
      </c>
      <c r="D46" s="59" t="str">
        <f>IF(C46="y",VLOOKUP(LUT!C47,LUT!$C$4:$E$52,3),IF(C46="n",VLOOKUP(LUT!C47,LUT!$C$4:$E$52,2)," "))</f>
        <v xml:space="preserve"> </v>
      </c>
      <c r="E46" s="57"/>
      <c r="F46" s="64" t="s">
        <v>87</v>
      </c>
      <c r="G46" s="64"/>
    </row>
    <row r="47" spans="1:7" ht="45" x14ac:dyDescent="0.25">
      <c r="A47" s="66">
        <v>8.01</v>
      </c>
      <c r="B47" s="67" t="s">
        <v>103</v>
      </c>
      <c r="C47" s="56" t="s">
        <v>33</v>
      </c>
      <c r="D47" s="59" t="str">
        <f>IF(C47="y",VLOOKUP(LUT!C48,LUT!$C$4:$E$52,3),IF(C47="n",VLOOKUP(LUT!C48,LUT!$C$4:$E$52,2)," "))</f>
        <v xml:space="preserve"> </v>
      </c>
      <c r="E47" s="57"/>
      <c r="F47" s="64" t="s">
        <v>104</v>
      </c>
      <c r="G47" s="64" t="s">
        <v>51</v>
      </c>
    </row>
    <row r="48" spans="1:7" ht="30" x14ac:dyDescent="0.25">
      <c r="A48" s="66">
        <v>8.02</v>
      </c>
      <c r="B48" s="67" t="s">
        <v>105</v>
      </c>
      <c r="C48" s="56" t="s">
        <v>33</v>
      </c>
      <c r="D48" s="59" t="str">
        <f>IF(C48="y",VLOOKUP(LUT!C49,LUT!$C$4:$E$52,3),IF(C48="n",VLOOKUP(LUT!C49,LUT!$C$4:$E$52,2)," "))</f>
        <v xml:space="preserve"> </v>
      </c>
      <c r="E48" s="57"/>
      <c r="F48" s="64" t="s">
        <v>87</v>
      </c>
      <c r="G48" s="64"/>
    </row>
    <row r="49" spans="1:7" ht="75" x14ac:dyDescent="0.25">
      <c r="A49" s="66">
        <v>8.0299999999999994</v>
      </c>
      <c r="B49" s="67" t="s">
        <v>106</v>
      </c>
      <c r="C49" s="56" t="s">
        <v>22</v>
      </c>
      <c r="D49" s="59">
        <f>IF(C49="y",VLOOKUP(LUT!C50,LUT!$C$4:$E$52,3),IF(C49="n",VLOOKUP(LUT!C50,LUT!$C$4:$E$52,2)," "))</f>
        <v>-1</v>
      </c>
      <c r="E49" s="57"/>
      <c r="F49" s="64" t="s">
        <v>107</v>
      </c>
      <c r="G49" s="64" t="s">
        <v>108</v>
      </c>
    </row>
    <row r="50" spans="1:7" ht="30" x14ac:dyDescent="0.25">
      <c r="A50" s="66">
        <v>8.0399999999999991</v>
      </c>
      <c r="B50" s="67" t="s">
        <v>109</v>
      </c>
      <c r="C50" s="56" t="s">
        <v>33</v>
      </c>
      <c r="D50" s="59" t="str">
        <f>IF(C50="y",VLOOKUP(LUT!C51,LUT!$C$4:$E$52,3),IF(C50="n",VLOOKUP(LUT!C51,LUT!$C$4:$E$52,2)," "))</f>
        <v xml:space="preserve"> </v>
      </c>
      <c r="E50" s="57"/>
      <c r="F50" s="64" t="s">
        <v>110</v>
      </c>
      <c r="G50" s="64"/>
    </row>
    <row r="51" spans="1:7" x14ac:dyDescent="0.25">
      <c r="A51" s="66">
        <v>8.0500000000000007</v>
      </c>
      <c r="B51" s="67" t="s">
        <v>111</v>
      </c>
      <c r="C51" s="56" t="s">
        <v>33</v>
      </c>
      <c r="D51" s="59" t="str">
        <f>IF(C51="y",VLOOKUP(LUT!C52,LUT!$C$4:$E$52,3),IF(C51="n",VLOOKUP(LUT!C52,LUT!$C$4:$E$52,2)," "))</f>
        <v xml:space="preserve"> </v>
      </c>
      <c r="E51" s="57"/>
      <c r="F51" s="64" t="s">
        <v>87</v>
      </c>
      <c r="G51" s="64"/>
    </row>
    <row r="52" spans="1:7" ht="15.75" thickBot="1" x14ac:dyDescent="0.3">
      <c r="A52" s="87"/>
      <c r="B52" s="86"/>
      <c r="C52" s="56"/>
      <c r="D52" s="56"/>
      <c r="E52" s="57"/>
      <c r="F52" s="56"/>
      <c r="G52" s="56"/>
    </row>
    <row r="53" spans="1:7" ht="29.25" customHeight="1" thickTop="1" x14ac:dyDescent="0.25">
      <c r="A53" s="56"/>
      <c r="B53" s="56"/>
      <c r="C53" s="69" t="s">
        <v>112</v>
      </c>
      <c r="D53" s="61">
        <f>SUM(D3:D51)</f>
        <v>14</v>
      </c>
      <c r="E53" s="62"/>
      <c r="F53" s="56"/>
      <c r="G53" s="56"/>
    </row>
    <row r="54" spans="1:7" ht="33" customHeight="1" thickBot="1" x14ac:dyDescent="0.3">
      <c r="A54" s="56"/>
      <c r="B54" s="56"/>
      <c r="C54" s="70" t="s">
        <v>113</v>
      </c>
      <c r="D54" s="21" t="str">
        <f>IF(E60="no","more info needed",IF(D53&lt;1,"accept",IF(D53&gt;6,"reject","evaluate further")))</f>
        <v>reject</v>
      </c>
      <c r="E54" s="62"/>
      <c r="F54" s="56"/>
      <c r="G54" s="56"/>
    </row>
    <row r="55" spans="1:7" ht="16.5" thickTop="1" thickBot="1" x14ac:dyDescent="0.3">
      <c r="A55" s="56"/>
      <c r="B55" s="56"/>
      <c r="C55" s="56"/>
      <c r="D55" s="56"/>
      <c r="E55" s="57"/>
      <c r="F55" s="56"/>
      <c r="G55" s="56"/>
    </row>
    <row r="56" spans="1:7" ht="46.5" thickTop="1" thickBot="1" x14ac:dyDescent="0.3">
      <c r="A56" s="56"/>
      <c r="B56" s="22" t="s">
        <v>114</v>
      </c>
      <c r="C56" s="23" t="s">
        <v>115</v>
      </c>
      <c r="D56" s="19" t="s">
        <v>116</v>
      </c>
      <c r="E56" s="62"/>
      <c r="F56" s="63"/>
      <c r="G56" s="56"/>
    </row>
    <row r="57" spans="1:7" ht="15.75" thickTop="1" x14ac:dyDescent="0.25">
      <c r="A57" s="56"/>
      <c r="B57" s="28" t="s">
        <v>117</v>
      </c>
      <c r="C57" s="24">
        <f>COUNTIF(C3:C15, "y")+COUNTIF(C3:C15, "n")+COUNTIF(C6:C7, "1")+COUNTIF(C6:C7, "2")+COUNTIF(C6:C7, "3")</f>
        <v>9</v>
      </c>
      <c r="D57" s="20" t="str">
        <f>IF(C57&gt;=2,"yes","no")</f>
        <v>yes</v>
      </c>
      <c r="E57" s="62"/>
      <c r="F57" s="56"/>
      <c r="G57" s="56"/>
    </row>
    <row r="58" spans="1:7" x14ac:dyDescent="0.25">
      <c r="A58" s="56"/>
      <c r="B58" s="29" t="s">
        <v>118</v>
      </c>
      <c r="C58" s="24">
        <f>COUNTIF(C16:C27,"y")+COUNTIF(C16:C27,"n")</f>
        <v>8</v>
      </c>
      <c r="D58" s="20" t="str">
        <f>IF(C58&gt;=2,"yes","no")</f>
        <v>yes</v>
      </c>
      <c r="E58" s="62"/>
      <c r="F58" s="56"/>
      <c r="G58" s="56"/>
    </row>
    <row r="59" spans="1:7" x14ac:dyDescent="0.25">
      <c r="A59" s="56"/>
      <c r="B59" s="28" t="s">
        <v>119</v>
      </c>
      <c r="C59" s="24">
        <f>COUNTIF(C28:C51,"y")+COUNTIF(C28:C51, "n")+COUNT(C28:C51)</f>
        <v>16</v>
      </c>
      <c r="D59" s="20" t="str">
        <f>IF(C59&gt;=6,"yes","no")</f>
        <v>yes</v>
      </c>
      <c r="E59" s="62"/>
      <c r="F59" s="56"/>
      <c r="G59" s="56"/>
    </row>
    <row r="60" spans="1:7" ht="15.75" thickBot="1" x14ac:dyDescent="0.3">
      <c r="A60" s="56"/>
      <c r="B60" s="25" t="s">
        <v>120</v>
      </c>
      <c r="C60" s="26">
        <f>SUM(C57:C59)</f>
        <v>33</v>
      </c>
      <c r="D60" s="21" t="str">
        <f>IF(D57="no","no",IF(D58="no","no",IF(D59="no","no","yes")))</f>
        <v>yes</v>
      </c>
      <c r="E60" s="62"/>
      <c r="F60" s="56"/>
      <c r="G60" s="56"/>
    </row>
    <row r="61" spans="1:7" ht="15.75" thickTop="1" x14ac:dyDescent="0.25">
      <c r="A61" s="56"/>
      <c r="B61" s="56"/>
      <c r="C61" s="56"/>
      <c r="D61" s="56"/>
      <c r="E61" s="57"/>
      <c r="F61" s="56"/>
      <c r="G61" s="56"/>
    </row>
    <row r="62" spans="1:7" x14ac:dyDescent="0.25">
      <c r="A62" s="56"/>
      <c r="B62" s="56"/>
      <c r="C62" s="56"/>
      <c r="D62" s="56"/>
      <c r="E62" s="57"/>
      <c r="F62" s="56"/>
      <c r="G62" s="56"/>
    </row>
    <row r="63" spans="1:7" ht="15.75" thickBot="1" x14ac:dyDescent="0.3">
      <c r="A63" s="56"/>
      <c r="B63" s="108" t="s">
        <v>121</v>
      </c>
      <c r="C63" s="108"/>
      <c r="D63" s="108"/>
      <c r="E63" s="62"/>
      <c r="F63" s="56"/>
      <c r="G63" s="56"/>
    </row>
    <row r="64" spans="1:7" ht="15.75" thickBot="1" x14ac:dyDescent="0.3">
      <c r="A64" s="56"/>
      <c r="B64" s="109" t="s">
        <v>122</v>
      </c>
      <c r="C64" s="110"/>
      <c r="D64" s="111"/>
      <c r="E64" s="62"/>
      <c r="F64" s="56"/>
      <c r="G64" s="56"/>
    </row>
    <row r="65" spans="1:7" x14ac:dyDescent="0.25">
      <c r="A65" s="56">
        <v>9.01</v>
      </c>
      <c r="B65" s="71" t="s">
        <v>123</v>
      </c>
      <c r="C65" s="112"/>
      <c r="D65" s="113"/>
      <c r="E65" s="62"/>
      <c r="F65" s="56"/>
      <c r="G65" s="56"/>
    </row>
    <row r="66" spans="1:7" x14ac:dyDescent="0.25">
      <c r="A66" s="56">
        <v>9.02</v>
      </c>
      <c r="B66" s="71" t="s">
        <v>124</v>
      </c>
      <c r="C66" s="114"/>
      <c r="D66" s="115"/>
      <c r="E66" s="62"/>
      <c r="F66" s="56"/>
      <c r="G66" s="56"/>
    </row>
    <row r="67" spans="1:7" x14ac:dyDescent="0.25">
      <c r="A67" s="56">
        <v>9.0299999999999994</v>
      </c>
      <c r="B67" s="71" t="s">
        <v>125</v>
      </c>
      <c r="C67" s="106"/>
      <c r="D67" s="107"/>
      <c r="E67" s="62"/>
      <c r="F67" s="56"/>
      <c r="G67" s="56"/>
    </row>
    <row r="68" spans="1:7" x14ac:dyDescent="0.25">
      <c r="A68" s="56">
        <v>9.0399999999999991</v>
      </c>
      <c r="B68" s="71" t="s">
        <v>126</v>
      </c>
      <c r="C68" s="106"/>
      <c r="D68" s="107"/>
      <c r="E68" s="62"/>
      <c r="F68" s="56"/>
      <c r="G68" s="56"/>
    </row>
    <row r="69" spans="1:7" x14ac:dyDescent="0.25">
      <c r="A69" s="56">
        <v>9.0500000000000007</v>
      </c>
      <c r="B69" s="71" t="s">
        <v>127</v>
      </c>
      <c r="C69" s="106"/>
      <c r="D69" s="107"/>
      <c r="E69" s="62"/>
      <c r="F69" s="56"/>
      <c r="G69" s="56"/>
    </row>
    <row r="70" spans="1:7" x14ac:dyDescent="0.25">
      <c r="A70" s="56">
        <v>9.06</v>
      </c>
      <c r="B70" s="71" t="s">
        <v>128</v>
      </c>
      <c r="C70" s="106"/>
      <c r="D70" s="107"/>
      <c r="E70" s="62"/>
      <c r="F70" s="56"/>
      <c r="G70" s="56"/>
    </row>
    <row r="71" spans="1:7" x14ac:dyDescent="0.25">
      <c r="A71" s="56">
        <v>9.07</v>
      </c>
      <c r="B71" s="71" t="s">
        <v>129</v>
      </c>
      <c r="C71" s="94"/>
      <c r="D71" s="97" t="str">
        <f>IF(C71="yes", IF(OR(C65="?", C66="?", C67="no", C67="?"), "eval.", IF(AND(C65="yes", C66="yes", C67="yes"), "reject", IF(OR(C65="no", C66="no"), "accept", " ")))," ")</f>
        <v xml:space="preserve"> </v>
      </c>
      <c r="E71" s="62"/>
      <c r="F71" s="56"/>
      <c r="G71" s="56"/>
    </row>
    <row r="72" spans="1:7" x14ac:dyDescent="0.25">
      <c r="A72" s="56">
        <v>9.08</v>
      </c>
      <c r="B72" s="71" t="s">
        <v>130</v>
      </c>
      <c r="C72" s="92"/>
      <c r="D72" s="89" t="str">
        <f>IF(C71="yes","STOP",IF(C72="yes",IF(C68="no","accept",IF(AND(C68="yes",OR(C69="yes",C70="yes")),"reject",IF(OR(C68="?",C69="?",C70="?",C69="no",C70="no"),"eval.",""))), ""))</f>
        <v/>
      </c>
      <c r="E72" s="62"/>
      <c r="F72" s="56"/>
      <c r="G72" s="56"/>
    </row>
    <row r="73" spans="1:7" ht="15.75" thickBot="1" x14ac:dyDescent="0.3">
      <c r="A73" s="56">
        <v>9.09</v>
      </c>
      <c r="B73" s="91" t="s">
        <v>131</v>
      </c>
      <c r="C73" s="93"/>
      <c r="D73" s="90" t="str">
        <f>IF(OR(C71="yes",C72="yes"),"STOP",IF(C73="yes",IF(AND(LUT!I26="accept",LUT!I27="accept"),"accept",IF(AND(LUT!I26="eval.",LUT!I27="eval."),"eval.",IF(OR(LUT!I26="reject",LUT!I27="reject"),"reject",""))),""))</f>
        <v/>
      </c>
      <c r="E73" s="62"/>
      <c r="F73" s="56"/>
      <c r="G73" s="56"/>
    </row>
    <row r="74" spans="1:7" ht="15.75" thickBot="1" x14ac:dyDescent="0.3">
      <c r="A74" s="56"/>
      <c r="B74" s="72" t="s">
        <v>132</v>
      </c>
      <c r="C74" s="104" t="str">
        <f>IF(OR(D71="accept", D72="accept", D73="accept"), "Accept", IF(OR(D71="eval.", D72="eval.", D73="eval."), "Evaluate Further", IF(OR(D71="reject", D72="reject",D73="reject"), "Reject", "")))</f>
        <v/>
      </c>
      <c r="D74" s="105"/>
      <c r="E74" s="62"/>
      <c r="F74" s="56"/>
      <c r="G74" s="56"/>
    </row>
    <row r="75" spans="1:7" x14ac:dyDescent="0.25">
      <c r="A75" s="56"/>
      <c r="B75" s="64"/>
      <c r="C75" s="64"/>
      <c r="D75" s="56"/>
      <c r="E75" s="57"/>
      <c r="F75" s="56"/>
      <c r="G75" s="56"/>
    </row>
    <row r="76" spans="1:7" x14ac:dyDescent="0.25">
      <c r="A76" s="56"/>
      <c r="B76" s="64"/>
      <c r="C76" s="64"/>
      <c r="D76" s="56"/>
      <c r="E76" s="57"/>
      <c r="F76" s="56"/>
      <c r="G76" s="56"/>
    </row>
    <row r="77" spans="1:7" x14ac:dyDescent="0.25">
      <c r="A77" s="56"/>
      <c r="B77" s="64"/>
      <c r="C77" s="64"/>
      <c r="D77" s="56"/>
      <c r="E77" s="57"/>
      <c r="F77" s="56"/>
      <c r="G77" s="56"/>
    </row>
    <row r="78" spans="1:7" x14ac:dyDescent="0.25">
      <c r="A78" s="56"/>
      <c r="B78" s="64"/>
      <c r="C78" s="64"/>
      <c r="D78" s="56"/>
      <c r="E78" s="57"/>
      <c r="F78" s="56"/>
      <c r="G78" s="56"/>
    </row>
    <row r="79" spans="1:7" x14ac:dyDescent="0.25">
      <c r="A79" s="56"/>
      <c r="B79" s="64"/>
      <c r="C79" s="64"/>
      <c r="D79" s="56"/>
      <c r="E79" s="57"/>
      <c r="F79" s="56"/>
      <c r="G79" s="56"/>
    </row>
    <row r="80" spans="1:7" x14ac:dyDescent="0.25">
      <c r="A80" s="56"/>
      <c r="B80" s="64"/>
      <c r="C80" s="64"/>
      <c r="D80" s="56"/>
      <c r="E80" s="57"/>
      <c r="F80" s="56"/>
      <c r="G80" s="56"/>
    </row>
    <row r="81" spans="1:7" x14ac:dyDescent="0.25">
      <c r="A81" s="56"/>
      <c r="B81" s="64"/>
      <c r="C81" s="64"/>
      <c r="D81" s="56"/>
      <c r="E81" s="57"/>
      <c r="F81" s="56"/>
      <c r="G81" s="56"/>
    </row>
    <row r="82" spans="1:7" x14ac:dyDescent="0.25">
      <c r="A82" s="56"/>
      <c r="B82" s="64"/>
      <c r="C82" s="64"/>
      <c r="D82" s="56"/>
      <c r="E82" s="57"/>
      <c r="F82" s="56"/>
      <c r="G82" s="56"/>
    </row>
    <row r="83" spans="1:7" x14ac:dyDescent="0.25">
      <c r="A83" s="56"/>
      <c r="B83" s="64"/>
      <c r="C83" s="64"/>
      <c r="D83" s="56"/>
      <c r="E83" s="57"/>
      <c r="F83" s="56"/>
      <c r="G83" s="56"/>
    </row>
    <row r="84" spans="1:7" x14ac:dyDescent="0.25">
      <c r="A84" s="56"/>
      <c r="B84" s="64"/>
      <c r="C84" s="64"/>
      <c r="D84" s="56"/>
      <c r="E84" s="57"/>
      <c r="F84" s="56"/>
      <c r="G84" s="56"/>
    </row>
    <row r="85" spans="1:7" x14ac:dyDescent="0.25">
      <c r="A85" s="56"/>
      <c r="B85" s="64"/>
      <c r="C85" s="64"/>
      <c r="D85" s="56"/>
      <c r="E85" s="57"/>
      <c r="F85" s="56"/>
      <c r="G85" s="56"/>
    </row>
    <row r="86" spans="1:7" x14ac:dyDescent="0.25">
      <c r="A86" s="56"/>
      <c r="B86" s="56"/>
      <c r="C86" s="56"/>
      <c r="D86" s="56"/>
      <c r="E86" s="57"/>
      <c r="F86" s="56"/>
      <c r="G86" s="56"/>
    </row>
    <row r="107" spans="6:6" x14ac:dyDescent="0.25">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x14ac:dyDescent="0.25"/>
  <cols>
    <col min="1" max="1" width="6.85546875" customWidth="1"/>
    <col min="8" max="8" width="18.28515625" customWidth="1"/>
  </cols>
  <sheetData>
    <row r="1" spans="2:18" ht="15.75" thickBot="1" x14ac:dyDescent="0.3"/>
    <row r="2" spans="2:18" ht="15.75" thickBot="1" x14ac:dyDescent="0.3">
      <c r="B2" t="s">
        <v>133</v>
      </c>
      <c r="H2" s="116" t="s">
        <v>134</v>
      </c>
      <c r="I2" s="117"/>
      <c r="J2" s="117"/>
      <c r="K2" s="117"/>
      <c r="L2" s="117"/>
      <c r="M2" s="117"/>
      <c r="N2" s="117"/>
      <c r="O2" s="117"/>
      <c r="P2" s="117"/>
      <c r="Q2" s="117"/>
      <c r="R2" s="118"/>
    </row>
    <row r="3" spans="2:18" x14ac:dyDescent="0.25">
      <c r="B3" s="1" t="s">
        <v>114</v>
      </c>
      <c r="C3" s="2" t="s">
        <v>4</v>
      </c>
      <c r="D3" s="2" t="s">
        <v>135</v>
      </c>
      <c r="E3" s="3" t="s">
        <v>136</v>
      </c>
      <c r="H3" s="138" t="s">
        <v>137</v>
      </c>
      <c r="I3" s="139"/>
      <c r="J3" s="139"/>
      <c r="K3" s="139"/>
      <c r="L3" s="139"/>
      <c r="M3" s="139"/>
      <c r="N3" s="139"/>
      <c r="O3" s="139"/>
      <c r="P3" s="139"/>
      <c r="Q3" s="139"/>
      <c r="R3" s="140"/>
    </row>
    <row r="4" spans="2:18" x14ac:dyDescent="0.25">
      <c r="B4" s="4" t="s">
        <v>138</v>
      </c>
      <c r="C4">
        <v>1.01</v>
      </c>
      <c r="D4">
        <v>0</v>
      </c>
      <c r="E4" s="5">
        <v>-3</v>
      </c>
      <c r="H4" s="141" t="s">
        <v>139</v>
      </c>
      <c r="I4" s="142"/>
      <c r="J4" s="142"/>
      <c r="K4" s="142"/>
      <c r="L4" s="142"/>
      <c r="M4" s="142"/>
      <c r="N4" s="142"/>
      <c r="O4" s="142"/>
      <c r="P4" s="142"/>
      <c r="Q4" s="142"/>
      <c r="R4" s="16" t="s">
        <v>140</v>
      </c>
    </row>
    <row r="5" spans="2:18" x14ac:dyDescent="0.25">
      <c r="B5" s="4" t="s">
        <v>119</v>
      </c>
      <c r="C5">
        <v>1.02</v>
      </c>
      <c r="D5">
        <v>-1</v>
      </c>
      <c r="E5" s="5">
        <v>1</v>
      </c>
      <c r="H5" s="141" t="s">
        <v>141</v>
      </c>
      <c r="I5" s="10">
        <v>2.0099999999999998</v>
      </c>
      <c r="J5" s="10">
        <v>1</v>
      </c>
      <c r="K5" s="10">
        <v>1</v>
      </c>
      <c r="L5" s="10">
        <v>1</v>
      </c>
      <c r="M5" s="10">
        <v>2</v>
      </c>
      <c r="N5" s="10">
        <v>2</v>
      </c>
      <c r="O5" s="10">
        <v>2</v>
      </c>
      <c r="P5" s="10">
        <v>3</v>
      </c>
      <c r="Q5" s="10">
        <v>3</v>
      </c>
      <c r="R5" s="11">
        <v>3</v>
      </c>
    </row>
    <row r="6" spans="2:18" x14ac:dyDescent="0.25">
      <c r="B6" s="4" t="s">
        <v>119</v>
      </c>
      <c r="C6">
        <v>1.03</v>
      </c>
      <c r="D6">
        <v>-1</v>
      </c>
      <c r="E6" s="5">
        <v>1</v>
      </c>
      <c r="H6" s="141"/>
      <c r="I6" s="10">
        <v>2.02</v>
      </c>
      <c r="J6" s="10">
        <v>1</v>
      </c>
      <c r="K6" s="10">
        <v>2</v>
      </c>
      <c r="L6" s="10">
        <v>3</v>
      </c>
      <c r="M6" s="10">
        <v>1</v>
      </c>
      <c r="N6" s="10">
        <v>2</v>
      </c>
      <c r="O6" s="10">
        <v>3</v>
      </c>
      <c r="P6" s="10">
        <v>1</v>
      </c>
      <c r="Q6" s="10">
        <v>2</v>
      </c>
      <c r="R6" s="11">
        <v>3</v>
      </c>
    </row>
    <row r="7" spans="2:18" x14ac:dyDescent="0.25">
      <c r="B7" s="4"/>
      <c r="C7">
        <v>2.0099999999999998</v>
      </c>
      <c r="D7" s="126" t="s">
        <v>142</v>
      </c>
      <c r="E7" s="127"/>
      <c r="H7" s="121" t="s">
        <v>143</v>
      </c>
      <c r="I7" s="10">
        <v>3.01</v>
      </c>
      <c r="J7" s="10">
        <v>2</v>
      </c>
      <c r="K7" s="10">
        <v>1</v>
      </c>
      <c r="L7" s="10">
        <v>1</v>
      </c>
      <c r="M7" s="10">
        <v>2</v>
      </c>
      <c r="N7" s="10">
        <v>2</v>
      </c>
      <c r="O7" s="10">
        <v>1</v>
      </c>
      <c r="P7" s="10">
        <v>2</v>
      </c>
      <c r="Q7" s="10">
        <v>2</v>
      </c>
      <c r="R7" s="11">
        <v>2</v>
      </c>
    </row>
    <row r="8" spans="2:18" x14ac:dyDescent="0.25">
      <c r="B8" s="4"/>
      <c r="C8">
        <v>2.02</v>
      </c>
      <c r="D8" s="128"/>
      <c r="E8" s="129"/>
      <c r="H8" s="121"/>
      <c r="I8" s="10">
        <v>3.02</v>
      </c>
      <c r="J8" s="10">
        <v>2</v>
      </c>
      <c r="K8" s="10">
        <v>1</v>
      </c>
      <c r="L8" s="10">
        <v>1</v>
      </c>
      <c r="M8" s="10">
        <v>2</v>
      </c>
      <c r="N8" s="10">
        <v>2</v>
      </c>
      <c r="O8" s="10">
        <v>1</v>
      </c>
      <c r="P8" s="10">
        <v>2</v>
      </c>
      <c r="Q8" s="10">
        <v>2</v>
      </c>
      <c r="R8" s="11">
        <v>2</v>
      </c>
    </row>
    <row r="9" spans="2:18" x14ac:dyDescent="0.25">
      <c r="B9" s="4" t="s">
        <v>119</v>
      </c>
      <c r="C9">
        <v>2.0299999999999998</v>
      </c>
      <c r="D9">
        <v>0</v>
      </c>
      <c r="E9" s="5">
        <v>1</v>
      </c>
      <c r="H9" s="121"/>
      <c r="I9" s="10">
        <v>3.03</v>
      </c>
      <c r="J9" s="10">
        <v>4</v>
      </c>
      <c r="K9" s="10">
        <v>2</v>
      </c>
      <c r="L9" s="10">
        <v>1</v>
      </c>
      <c r="M9" s="10">
        <v>4</v>
      </c>
      <c r="N9" s="10">
        <v>3</v>
      </c>
      <c r="O9" s="10">
        <v>2</v>
      </c>
      <c r="P9" s="10">
        <v>4</v>
      </c>
      <c r="Q9" s="10">
        <v>4</v>
      </c>
      <c r="R9" s="11">
        <v>4</v>
      </c>
    </row>
    <row r="10" spans="2:18" x14ac:dyDescent="0.25">
      <c r="B10" s="4" t="s">
        <v>119</v>
      </c>
      <c r="C10">
        <v>2.04</v>
      </c>
      <c r="D10">
        <v>0</v>
      </c>
      <c r="E10" s="5">
        <v>1</v>
      </c>
      <c r="H10" s="121"/>
      <c r="I10" s="10">
        <v>3.04</v>
      </c>
      <c r="J10" s="10">
        <v>4</v>
      </c>
      <c r="K10" s="10">
        <v>2</v>
      </c>
      <c r="L10" s="10">
        <v>1</v>
      </c>
      <c r="M10" s="10">
        <v>4</v>
      </c>
      <c r="N10" s="10">
        <v>3</v>
      </c>
      <c r="O10" s="10">
        <v>2</v>
      </c>
      <c r="P10" s="10">
        <v>4</v>
      </c>
      <c r="Q10" s="10">
        <v>4</v>
      </c>
      <c r="R10" s="11">
        <v>4</v>
      </c>
    </row>
    <row r="11" spans="2:18" x14ac:dyDescent="0.25">
      <c r="B11" s="4"/>
      <c r="C11">
        <v>2.0499999999999998</v>
      </c>
      <c r="E11" s="5"/>
      <c r="H11" s="121"/>
      <c r="I11" s="10">
        <v>3.05</v>
      </c>
      <c r="J11" s="10">
        <v>2</v>
      </c>
      <c r="K11" s="10">
        <v>1</v>
      </c>
      <c r="L11" s="10">
        <v>1</v>
      </c>
      <c r="M11" s="10">
        <v>2</v>
      </c>
      <c r="N11" s="10">
        <v>2</v>
      </c>
      <c r="O11" s="10">
        <v>1</v>
      </c>
      <c r="P11" s="10">
        <v>2</v>
      </c>
      <c r="Q11" s="10">
        <v>2</v>
      </c>
      <c r="R11" s="11">
        <v>2</v>
      </c>
    </row>
    <row r="12" spans="2:18" x14ac:dyDescent="0.25">
      <c r="B12" s="4" t="s">
        <v>119</v>
      </c>
      <c r="C12">
        <v>3.01</v>
      </c>
      <c r="D12" s="130" t="s">
        <v>144</v>
      </c>
      <c r="E12" s="131"/>
      <c r="H12" s="119" t="s">
        <v>145</v>
      </c>
      <c r="I12" s="120"/>
      <c r="J12" s="120"/>
      <c r="K12" s="120"/>
      <c r="L12" s="120"/>
      <c r="M12" s="120"/>
      <c r="N12" s="120"/>
      <c r="O12" s="120"/>
      <c r="P12" s="120"/>
      <c r="Q12" s="120"/>
      <c r="R12" s="123"/>
    </row>
    <row r="13" spans="2:18" x14ac:dyDescent="0.25">
      <c r="B13" s="4" t="s">
        <v>146</v>
      </c>
      <c r="C13">
        <v>3.02</v>
      </c>
      <c r="D13" s="132"/>
      <c r="E13" s="133"/>
      <c r="H13" s="4" t="s">
        <v>147</v>
      </c>
      <c r="I13" s="10">
        <v>2.0499999999999998</v>
      </c>
      <c r="J13" s="10" t="s">
        <v>33</v>
      </c>
      <c r="K13" s="10" t="s">
        <v>148</v>
      </c>
      <c r="L13" s="10" t="s">
        <v>149</v>
      </c>
      <c r="M13" s="120"/>
      <c r="N13" s="120"/>
      <c r="O13" s="120"/>
      <c r="P13" s="120"/>
      <c r="Q13" s="120"/>
      <c r="R13" s="123"/>
    </row>
    <row r="14" spans="2:18" x14ac:dyDescent="0.25">
      <c r="B14" s="4" t="s">
        <v>117</v>
      </c>
      <c r="C14">
        <v>3.03</v>
      </c>
      <c r="D14" s="132"/>
      <c r="E14" s="133"/>
      <c r="H14" s="121" t="s">
        <v>143</v>
      </c>
      <c r="I14" s="10">
        <v>3.01</v>
      </c>
      <c r="J14" s="10">
        <v>-1</v>
      </c>
      <c r="K14" s="10">
        <v>0</v>
      </c>
      <c r="L14" s="10">
        <v>-2</v>
      </c>
      <c r="M14" s="120"/>
      <c r="N14" s="120"/>
      <c r="O14" s="120"/>
      <c r="P14" s="120"/>
      <c r="Q14" s="120"/>
      <c r="R14" s="123"/>
    </row>
    <row r="15" spans="2:18" ht="15.75" thickBot="1" x14ac:dyDescent="0.3">
      <c r="B15" s="4" t="s">
        <v>146</v>
      </c>
      <c r="C15">
        <v>3.04</v>
      </c>
      <c r="D15" s="132"/>
      <c r="E15" s="133"/>
      <c r="H15" s="122"/>
      <c r="I15" s="13" t="s">
        <v>150</v>
      </c>
      <c r="J15" s="13">
        <v>0</v>
      </c>
      <c r="K15" s="13">
        <v>0</v>
      </c>
      <c r="L15" s="13">
        <v>0</v>
      </c>
      <c r="M15" s="124"/>
      <c r="N15" s="124"/>
      <c r="O15" s="124"/>
      <c r="P15" s="124"/>
      <c r="Q15" s="124"/>
      <c r="R15" s="125"/>
    </row>
    <row r="16" spans="2:18" x14ac:dyDescent="0.25">
      <c r="B16" s="4" t="s">
        <v>119</v>
      </c>
      <c r="C16">
        <v>3.05</v>
      </c>
      <c r="D16" s="134"/>
      <c r="E16" s="135"/>
    </row>
    <row r="17" spans="2:11" x14ac:dyDescent="0.25">
      <c r="B17" s="4" t="s">
        <v>151</v>
      </c>
      <c r="C17">
        <v>4.01</v>
      </c>
      <c r="D17">
        <v>0</v>
      </c>
      <c r="E17" s="5">
        <v>1</v>
      </c>
    </row>
    <row r="18" spans="2:11" ht="15.75" thickBot="1" x14ac:dyDescent="0.3">
      <c r="B18" s="4" t="s">
        <v>119</v>
      </c>
      <c r="C18">
        <v>4.0199999999999996</v>
      </c>
      <c r="D18">
        <v>0</v>
      </c>
      <c r="E18" s="5">
        <v>1</v>
      </c>
    </row>
    <row r="19" spans="2:11" x14ac:dyDescent="0.25">
      <c r="B19" s="4" t="s">
        <v>119</v>
      </c>
      <c r="C19">
        <v>4.03</v>
      </c>
      <c r="D19">
        <v>0</v>
      </c>
      <c r="E19" s="5">
        <v>1</v>
      </c>
      <c r="H19" s="116" t="s">
        <v>152</v>
      </c>
      <c r="I19" s="117"/>
      <c r="J19" s="117"/>
      <c r="K19" s="118"/>
    </row>
    <row r="20" spans="2:11" x14ac:dyDescent="0.25">
      <c r="B20" s="4" t="s">
        <v>117</v>
      </c>
      <c r="C20">
        <v>4.04</v>
      </c>
      <c r="D20">
        <v>-1</v>
      </c>
      <c r="E20" s="5">
        <v>1</v>
      </c>
      <c r="H20" s="4" t="s">
        <v>153</v>
      </c>
      <c r="I20" s="12">
        <v>1</v>
      </c>
      <c r="J20" s="12">
        <v>2</v>
      </c>
      <c r="K20" s="9">
        <v>4</v>
      </c>
    </row>
    <row r="21" spans="2:11" ht="15.75" thickBot="1" x14ac:dyDescent="0.3">
      <c r="B21" s="4" t="s">
        <v>119</v>
      </c>
      <c r="C21">
        <v>4.05</v>
      </c>
      <c r="D21">
        <v>0</v>
      </c>
      <c r="E21" s="5">
        <v>1</v>
      </c>
      <c r="H21" s="6" t="s">
        <v>6</v>
      </c>
      <c r="I21" s="14">
        <v>1</v>
      </c>
      <c r="J21" s="14">
        <v>0</v>
      </c>
      <c r="K21" s="15">
        <v>-1</v>
      </c>
    </row>
    <row r="22" spans="2:11" x14ac:dyDescent="0.25">
      <c r="B22" s="4" t="s">
        <v>119</v>
      </c>
      <c r="C22">
        <v>4.0599999999999996</v>
      </c>
      <c r="D22">
        <v>0</v>
      </c>
      <c r="E22" s="5">
        <v>1</v>
      </c>
    </row>
    <row r="23" spans="2:11" x14ac:dyDescent="0.25">
      <c r="B23" s="4" t="s">
        <v>119</v>
      </c>
      <c r="C23">
        <v>4.07</v>
      </c>
      <c r="D23">
        <v>0</v>
      </c>
      <c r="E23" s="5">
        <v>1</v>
      </c>
    </row>
    <row r="24" spans="2:11" ht="15.75" thickBot="1" x14ac:dyDescent="0.3">
      <c r="B24" s="4" t="s">
        <v>146</v>
      </c>
      <c r="C24">
        <v>4.08</v>
      </c>
      <c r="D24">
        <v>0</v>
      </c>
      <c r="E24" s="5">
        <v>1</v>
      </c>
    </row>
    <row r="25" spans="2:11" x14ac:dyDescent="0.25">
      <c r="B25" s="4" t="s">
        <v>146</v>
      </c>
      <c r="C25">
        <v>4.09</v>
      </c>
      <c r="D25">
        <v>0</v>
      </c>
      <c r="E25" s="5">
        <v>1</v>
      </c>
      <c r="H25" s="143" t="s">
        <v>154</v>
      </c>
      <c r="I25" s="144"/>
      <c r="J25" s="144"/>
      <c r="K25" s="145"/>
    </row>
    <row r="26" spans="2:11" x14ac:dyDescent="0.25">
      <c r="B26" s="4" t="s">
        <v>146</v>
      </c>
      <c r="C26">
        <v>4.0999999999999996</v>
      </c>
      <c r="D26">
        <v>0</v>
      </c>
      <c r="E26" s="5">
        <v>1</v>
      </c>
      <c r="H26" s="95" t="s">
        <v>155</v>
      </c>
      <c r="I26" s="146" t="str">
        <f>IF(OR('WRA Worksheet'!C65="?",'WRA Worksheet'!C66="?",'WRA Worksheet'!C67="?",'WRA Worksheet'!C67="no"),"eval.",IF(AND('WRA Worksheet'!C65="yes",'WRA Worksheet'!C66="yes",'WRA Worksheet'!C67="yes"),"reject",IF(OR('WRA Worksheet'!C65="no",'WRA Worksheet'!C66="no"),"accept","")))</f>
        <v/>
      </c>
      <c r="J26" s="146"/>
      <c r="K26" s="147"/>
    </row>
    <row r="27" spans="2:11" ht="15.75" thickBot="1" x14ac:dyDescent="0.3">
      <c r="B27" s="4" t="s">
        <v>146</v>
      </c>
      <c r="C27">
        <v>4.1100000000000003</v>
      </c>
      <c r="D27">
        <v>0</v>
      </c>
      <c r="E27" s="5">
        <v>1</v>
      </c>
      <c r="H27" s="96" t="s">
        <v>156</v>
      </c>
      <c r="I27" s="148" t="str">
        <f>IF('WRA Worksheet'!C68="no","accept",IF(AND('WRA Worksheet'!C68="yes",OR('WRA Worksheet'!C69="yes",'WRA Worksheet'!C70="yes")),"reject",IF(OR('WRA Worksheet'!C68="?",'WRA Worksheet'!C69="?",'WRA Worksheet'!C70="?",'WRA Worksheet'!C69="no",'WRA Worksheet'!C70="no"),"eval.","")))</f>
        <v/>
      </c>
      <c r="J27" s="148"/>
      <c r="K27" s="149"/>
    </row>
    <row r="28" spans="2:11" x14ac:dyDescent="0.25">
      <c r="B28" s="4" t="s">
        <v>119</v>
      </c>
      <c r="C28">
        <v>4.12</v>
      </c>
      <c r="D28">
        <v>0</v>
      </c>
      <c r="E28" s="5">
        <v>1</v>
      </c>
    </row>
    <row r="29" spans="2:11" x14ac:dyDescent="0.25">
      <c r="B29" s="4" t="s">
        <v>157</v>
      </c>
      <c r="C29">
        <v>5.01</v>
      </c>
      <c r="D29">
        <v>0</v>
      </c>
      <c r="E29" s="5">
        <v>5</v>
      </c>
    </row>
    <row r="30" spans="2:11" x14ac:dyDescent="0.25">
      <c r="B30" s="4" t="s">
        <v>119</v>
      </c>
      <c r="C30">
        <v>5.0199999999999996</v>
      </c>
      <c r="D30">
        <v>0</v>
      </c>
      <c r="E30" s="5">
        <v>1</v>
      </c>
    </row>
    <row r="31" spans="2:11" x14ac:dyDescent="0.25">
      <c r="B31" s="4" t="s">
        <v>146</v>
      </c>
      <c r="C31">
        <v>5.03</v>
      </c>
      <c r="D31">
        <v>0</v>
      </c>
      <c r="E31" s="5">
        <v>1</v>
      </c>
    </row>
    <row r="32" spans="2:11" x14ac:dyDescent="0.25">
      <c r="B32" s="4" t="s">
        <v>119</v>
      </c>
      <c r="C32">
        <v>5.04</v>
      </c>
      <c r="D32">
        <v>0</v>
      </c>
      <c r="E32" s="5">
        <v>1</v>
      </c>
    </row>
    <row r="33" spans="2:5" x14ac:dyDescent="0.25">
      <c r="B33" s="4" t="s">
        <v>119</v>
      </c>
      <c r="C33">
        <v>6.01</v>
      </c>
      <c r="D33">
        <v>0</v>
      </c>
      <c r="E33" s="5">
        <v>1</v>
      </c>
    </row>
    <row r="34" spans="2:5" x14ac:dyDescent="0.25">
      <c r="B34" s="4" t="s">
        <v>119</v>
      </c>
      <c r="C34">
        <v>6.02</v>
      </c>
      <c r="D34">
        <v>-1</v>
      </c>
      <c r="E34" s="5">
        <v>1</v>
      </c>
    </row>
    <row r="35" spans="2:5" x14ac:dyDescent="0.25">
      <c r="B35" s="4" t="s">
        <v>117</v>
      </c>
      <c r="C35">
        <v>6.03</v>
      </c>
      <c r="D35">
        <v>-1</v>
      </c>
      <c r="E35" s="5">
        <v>1</v>
      </c>
    </row>
    <row r="36" spans="2:5" x14ac:dyDescent="0.25">
      <c r="B36" s="4" t="s">
        <v>119</v>
      </c>
      <c r="C36">
        <v>6.04</v>
      </c>
      <c r="D36">
        <v>-1</v>
      </c>
      <c r="E36" s="5">
        <v>1</v>
      </c>
    </row>
    <row r="37" spans="2:5" x14ac:dyDescent="0.25">
      <c r="B37" s="4" t="s">
        <v>119</v>
      </c>
      <c r="C37">
        <v>6.05</v>
      </c>
      <c r="D37">
        <v>0</v>
      </c>
      <c r="E37" s="5">
        <v>-1</v>
      </c>
    </row>
    <row r="38" spans="2:5" x14ac:dyDescent="0.25">
      <c r="B38" s="4" t="s">
        <v>117</v>
      </c>
      <c r="C38">
        <v>6.06</v>
      </c>
      <c r="D38">
        <v>-1</v>
      </c>
      <c r="E38" s="5">
        <v>1</v>
      </c>
    </row>
    <row r="39" spans="2:5" x14ac:dyDescent="0.25">
      <c r="B39" s="4" t="s">
        <v>119</v>
      </c>
      <c r="C39">
        <v>6.07</v>
      </c>
      <c r="D39" s="136" t="s">
        <v>158</v>
      </c>
      <c r="E39" s="137"/>
    </row>
    <row r="40" spans="2:5" x14ac:dyDescent="0.25">
      <c r="B40" s="4" t="s">
        <v>117</v>
      </c>
      <c r="C40">
        <v>7.01</v>
      </c>
      <c r="D40">
        <v>-1</v>
      </c>
      <c r="E40" s="5">
        <v>1</v>
      </c>
    </row>
    <row r="41" spans="2:5" x14ac:dyDescent="0.25">
      <c r="B41" s="4" t="s">
        <v>119</v>
      </c>
      <c r="C41">
        <v>7.02</v>
      </c>
      <c r="D41">
        <v>-1</v>
      </c>
      <c r="E41" s="5">
        <v>1</v>
      </c>
    </row>
    <row r="42" spans="2:5" x14ac:dyDescent="0.25">
      <c r="B42" s="4" t="s">
        <v>117</v>
      </c>
      <c r="C42">
        <v>7.03</v>
      </c>
      <c r="D42">
        <v>-1</v>
      </c>
      <c r="E42" s="5">
        <v>1</v>
      </c>
    </row>
    <row r="43" spans="2:5" x14ac:dyDescent="0.25">
      <c r="B43" s="4" t="s">
        <v>119</v>
      </c>
      <c r="C43">
        <v>7.04</v>
      </c>
      <c r="D43">
        <v>-1</v>
      </c>
      <c r="E43" s="5">
        <v>1</v>
      </c>
    </row>
    <row r="44" spans="2:5" x14ac:dyDescent="0.25">
      <c r="B44" s="4" t="s">
        <v>146</v>
      </c>
      <c r="C44">
        <v>7.05</v>
      </c>
      <c r="D44">
        <v>-1</v>
      </c>
      <c r="E44" s="5">
        <v>1</v>
      </c>
    </row>
    <row r="45" spans="2:5" x14ac:dyDescent="0.25">
      <c r="B45" s="4" t="s">
        <v>146</v>
      </c>
      <c r="C45">
        <v>7.06</v>
      </c>
      <c r="D45">
        <v>-1</v>
      </c>
      <c r="E45" s="5">
        <v>1</v>
      </c>
    </row>
    <row r="46" spans="2:5" x14ac:dyDescent="0.25">
      <c r="B46" s="4" t="s">
        <v>119</v>
      </c>
      <c r="C46">
        <v>7.07</v>
      </c>
      <c r="D46">
        <v>-1</v>
      </c>
      <c r="E46" s="5">
        <v>1</v>
      </c>
    </row>
    <row r="47" spans="2:5" x14ac:dyDescent="0.25">
      <c r="B47" s="4" t="s">
        <v>119</v>
      </c>
      <c r="C47">
        <v>7.08</v>
      </c>
      <c r="D47">
        <v>-1</v>
      </c>
      <c r="E47" s="5">
        <v>1</v>
      </c>
    </row>
    <row r="48" spans="2:5" x14ac:dyDescent="0.25">
      <c r="B48" s="4" t="s">
        <v>119</v>
      </c>
      <c r="C48">
        <v>8.01</v>
      </c>
      <c r="D48">
        <v>-1</v>
      </c>
      <c r="E48" s="5">
        <v>1</v>
      </c>
    </row>
    <row r="49" spans="2:5" x14ac:dyDescent="0.25">
      <c r="B49" s="4" t="s">
        <v>119</v>
      </c>
      <c r="C49">
        <v>8.02</v>
      </c>
      <c r="D49">
        <v>-1</v>
      </c>
      <c r="E49" s="5">
        <v>1</v>
      </c>
    </row>
    <row r="50" spans="2:5" x14ac:dyDescent="0.25">
      <c r="B50" s="4" t="s">
        <v>117</v>
      </c>
      <c r="C50">
        <v>8.0299999999999994</v>
      </c>
      <c r="D50">
        <v>1</v>
      </c>
      <c r="E50" s="5">
        <v>-1</v>
      </c>
    </row>
    <row r="51" spans="2:5" x14ac:dyDescent="0.25">
      <c r="B51" s="4" t="s">
        <v>117</v>
      </c>
      <c r="C51">
        <v>8.0399999999999991</v>
      </c>
      <c r="D51">
        <v>-1</v>
      </c>
      <c r="E51" s="5">
        <v>1</v>
      </c>
    </row>
    <row r="52" spans="2:5" x14ac:dyDescent="0.25">
      <c r="B52" s="4" t="s">
        <v>119</v>
      </c>
      <c r="C52">
        <v>8.0500000000000007</v>
      </c>
      <c r="D52">
        <v>1</v>
      </c>
      <c r="E52" s="5">
        <v>-1</v>
      </c>
    </row>
    <row r="53" spans="2:5" x14ac:dyDescent="0.25">
      <c r="B53" s="4"/>
      <c r="E53" s="5"/>
    </row>
    <row r="54" spans="2:5" ht="15.75" thickBot="1" x14ac:dyDescent="0.3">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x14ac:dyDescent="0.25"/>
  <cols>
    <col min="1" max="1" width="7.140625" customWidth="1"/>
    <col min="2" max="2" width="64.42578125" customWidth="1"/>
  </cols>
  <sheetData>
    <row r="1" spans="1:4" ht="109.5" customHeight="1" x14ac:dyDescent="0.25">
      <c r="A1" s="153" t="str">
        <f>'WRA Worksheet'!F1</f>
        <v>Assessment date: May 7, 2025 Prepared by Seokmin Kim</v>
      </c>
      <c r="B1" s="154"/>
      <c r="C1" s="154"/>
      <c r="D1" s="98" t="s">
        <v>159</v>
      </c>
    </row>
    <row r="2" spans="1:4" ht="18.75" x14ac:dyDescent="0.25">
      <c r="A2" s="150" t="s">
        <v>160</v>
      </c>
      <c r="B2" s="151"/>
      <c r="C2" s="73" t="s">
        <v>5</v>
      </c>
      <c r="D2" s="73" t="s">
        <v>6</v>
      </c>
    </row>
    <row r="3" spans="1:4" x14ac:dyDescent="0.25">
      <c r="A3" s="74">
        <v>1.01</v>
      </c>
      <c r="B3" s="75" t="s">
        <v>10</v>
      </c>
      <c r="C3" s="76" t="str">
        <f>'WRA Worksheet'!C3</f>
        <v>n</v>
      </c>
      <c r="D3" s="82">
        <f>'WRA Worksheet'!D3</f>
        <v>0</v>
      </c>
    </row>
    <row r="4" spans="1:4" x14ac:dyDescent="0.25">
      <c r="A4" s="74">
        <v>1.02</v>
      </c>
      <c r="B4" s="75" t="s">
        <v>13</v>
      </c>
      <c r="C4" s="76">
        <f>'WRA Worksheet'!C4</f>
        <v>0</v>
      </c>
      <c r="D4" s="82" t="str">
        <f>'WRA Worksheet'!D4</f>
        <v xml:space="preserve"> </v>
      </c>
    </row>
    <row r="5" spans="1:4" x14ac:dyDescent="0.25">
      <c r="A5" s="74">
        <v>1.03</v>
      </c>
      <c r="B5" s="75" t="s">
        <v>14</v>
      </c>
      <c r="C5" s="76">
        <f>'WRA Worksheet'!C5</f>
        <v>0</v>
      </c>
      <c r="D5" s="82" t="str">
        <f>'WRA Worksheet'!D5</f>
        <v xml:space="preserve"> </v>
      </c>
    </row>
    <row r="6" spans="1:4" ht="48" x14ac:dyDescent="0.25">
      <c r="A6" s="74">
        <v>2.0099999999999998</v>
      </c>
      <c r="B6" s="77" t="s">
        <v>161</v>
      </c>
      <c r="C6" s="76">
        <f>'WRA Worksheet'!C6</f>
        <v>3</v>
      </c>
      <c r="D6" s="83"/>
    </row>
    <row r="7" spans="1:4" x14ac:dyDescent="0.25">
      <c r="A7" s="74">
        <v>2.02</v>
      </c>
      <c r="B7" s="75" t="s">
        <v>162</v>
      </c>
      <c r="C7" s="76">
        <f>'WRA Worksheet'!C7</f>
        <v>3</v>
      </c>
      <c r="D7" s="83"/>
    </row>
    <row r="8" spans="1:4" x14ac:dyDescent="0.25">
      <c r="A8" s="74">
        <v>2.0299999999999998</v>
      </c>
      <c r="B8" s="75" t="s">
        <v>20</v>
      </c>
      <c r="C8" s="76" t="str">
        <f>'WRA Worksheet'!C8</f>
        <v>n</v>
      </c>
      <c r="D8" s="82">
        <f>'WRA Worksheet'!D8</f>
        <v>0</v>
      </c>
    </row>
    <row r="9" spans="1:4" ht="48" x14ac:dyDescent="0.25">
      <c r="A9" s="74">
        <v>2.04</v>
      </c>
      <c r="B9" s="78" t="s">
        <v>21</v>
      </c>
      <c r="C9" s="76" t="str">
        <f>'WRA Worksheet'!C9</f>
        <v>y</v>
      </c>
      <c r="D9" s="82">
        <f>'WRA Worksheet'!D9</f>
        <v>1</v>
      </c>
    </row>
    <row r="10" spans="1:4" ht="30" x14ac:dyDescent="0.25">
      <c r="A10" s="74">
        <v>2.0499999999999998</v>
      </c>
      <c r="B10" s="75" t="s">
        <v>23</v>
      </c>
      <c r="C10" s="79" t="str">
        <f>'WRA Worksheet'!C10</f>
        <v>y</v>
      </c>
      <c r="D10" s="83"/>
    </row>
    <row r="11" spans="1:4" x14ac:dyDescent="0.25">
      <c r="A11" s="74">
        <v>3.01</v>
      </c>
      <c r="B11" s="75" t="s">
        <v>26</v>
      </c>
      <c r="C11" s="76" t="str">
        <f>'WRA Worksheet'!C11</f>
        <v>y</v>
      </c>
      <c r="D11" s="82">
        <f>'WRA Worksheet'!D11</f>
        <v>2</v>
      </c>
    </row>
    <row r="12" spans="1:4" x14ac:dyDescent="0.25">
      <c r="A12" s="74">
        <v>3.02</v>
      </c>
      <c r="B12" s="75" t="s">
        <v>29</v>
      </c>
      <c r="C12" s="76" t="str">
        <f>'WRA Worksheet'!C12</f>
        <v>y</v>
      </c>
      <c r="D12" s="82">
        <f>'WRA Worksheet'!D12</f>
        <v>2</v>
      </c>
    </row>
    <row r="13" spans="1:4" x14ac:dyDescent="0.25">
      <c r="A13" s="74">
        <v>3.03</v>
      </c>
      <c r="B13" s="75" t="s">
        <v>32</v>
      </c>
      <c r="C13" s="76" t="str">
        <f>'WRA Worksheet'!C13</f>
        <v>?</v>
      </c>
      <c r="D13" s="82" t="str">
        <f>'WRA Worksheet'!D13</f>
        <v/>
      </c>
    </row>
    <row r="14" spans="1:4" x14ac:dyDescent="0.25">
      <c r="A14" s="74">
        <v>3.04</v>
      </c>
      <c r="B14" s="75" t="s">
        <v>35</v>
      </c>
      <c r="C14" s="76" t="str">
        <f>'WRA Worksheet'!C14</f>
        <v>?</v>
      </c>
      <c r="D14" s="82" t="str">
        <f>'WRA Worksheet'!D14</f>
        <v/>
      </c>
    </row>
    <row r="15" spans="1:4" x14ac:dyDescent="0.25">
      <c r="A15" s="74">
        <v>3.05</v>
      </c>
      <c r="B15" s="75" t="s">
        <v>38</v>
      </c>
      <c r="C15" s="76" t="str">
        <f>'WRA Worksheet'!C15</f>
        <v>y</v>
      </c>
      <c r="D15" s="82">
        <f>'WRA Worksheet'!D15</f>
        <v>2</v>
      </c>
    </row>
    <row r="16" spans="1:4" x14ac:dyDescent="0.25">
      <c r="A16" s="74">
        <v>4.01</v>
      </c>
      <c r="B16" s="75" t="s">
        <v>41</v>
      </c>
      <c r="C16" s="76" t="str">
        <f>'WRA Worksheet'!C16</f>
        <v>n</v>
      </c>
      <c r="D16" s="82">
        <f>'WRA Worksheet'!D16</f>
        <v>0</v>
      </c>
    </row>
    <row r="17" spans="1:4" x14ac:dyDescent="0.25">
      <c r="A17" s="74">
        <v>4.0199999999999996</v>
      </c>
      <c r="B17" s="75" t="s">
        <v>42</v>
      </c>
      <c r="C17" s="76" t="str">
        <f>'WRA Worksheet'!C17</f>
        <v>?</v>
      </c>
      <c r="D17" s="82" t="str">
        <f>'WRA Worksheet'!D17</f>
        <v xml:space="preserve"> </v>
      </c>
    </row>
    <row r="18" spans="1:4" x14ac:dyDescent="0.25">
      <c r="A18" s="74">
        <v>4.03</v>
      </c>
      <c r="B18" s="75" t="s">
        <v>44</v>
      </c>
      <c r="C18" s="76" t="str">
        <f>'WRA Worksheet'!C18</f>
        <v>n</v>
      </c>
      <c r="D18" s="82">
        <f>'WRA Worksheet'!D18</f>
        <v>0</v>
      </c>
    </row>
    <row r="19" spans="1:4" x14ac:dyDescent="0.25">
      <c r="A19" s="74">
        <v>4.04</v>
      </c>
      <c r="B19" s="75" t="s">
        <v>45</v>
      </c>
      <c r="C19" s="76" t="str">
        <f>'WRA Worksheet'!C19</f>
        <v>n</v>
      </c>
      <c r="D19" s="82">
        <f>'WRA Worksheet'!D19</f>
        <v>-1</v>
      </c>
    </row>
    <row r="20" spans="1:4" x14ac:dyDescent="0.25">
      <c r="A20" s="74">
        <v>4.05</v>
      </c>
      <c r="B20" s="75" t="s">
        <v>48</v>
      </c>
      <c r="C20" s="76" t="str">
        <f>'WRA Worksheet'!C20</f>
        <v>n</v>
      </c>
      <c r="D20" s="82">
        <f>'WRA Worksheet'!D20</f>
        <v>0</v>
      </c>
    </row>
    <row r="21" spans="1:4" x14ac:dyDescent="0.25">
      <c r="A21" s="74">
        <v>4.0599999999999996</v>
      </c>
      <c r="B21" s="75" t="s">
        <v>49</v>
      </c>
      <c r="C21" s="76" t="str">
        <f>'WRA Worksheet'!C21</f>
        <v>?</v>
      </c>
      <c r="D21" s="82" t="str">
        <f>'WRA Worksheet'!D21</f>
        <v xml:space="preserve"> </v>
      </c>
    </row>
    <row r="22" spans="1:4" x14ac:dyDescent="0.25">
      <c r="A22" s="74">
        <v>4.07</v>
      </c>
      <c r="B22" s="75" t="s">
        <v>52</v>
      </c>
      <c r="C22" s="76" t="str">
        <f>'WRA Worksheet'!C22</f>
        <v>n</v>
      </c>
      <c r="D22" s="82">
        <f>'WRA Worksheet'!D22</f>
        <v>0</v>
      </c>
    </row>
    <row r="23" spans="1:4" x14ac:dyDescent="0.25">
      <c r="A23" s="74">
        <v>4.08</v>
      </c>
      <c r="B23" s="75" t="s">
        <v>53</v>
      </c>
      <c r="C23" s="76" t="str">
        <f>'WRA Worksheet'!C23</f>
        <v>?</v>
      </c>
      <c r="D23" s="82" t="str">
        <f>'WRA Worksheet'!D23</f>
        <v xml:space="preserve"> </v>
      </c>
    </row>
    <row r="24" spans="1:4" x14ac:dyDescent="0.25">
      <c r="A24" s="74">
        <v>4.09</v>
      </c>
      <c r="B24" s="75" t="s">
        <v>56</v>
      </c>
      <c r="C24" s="76" t="str">
        <f>'WRA Worksheet'!C24</f>
        <v>?</v>
      </c>
      <c r="D24" s="82" t="str">
        <f>'WRA Worksheet'!D24</f>
        <v xml:space="preserve"> </v>
      </c>
    </row>
    <row r="25" spans="1:4" ht="45" x14ac:dyDescent="0.25">
      <c r="A25" s="74">
        <v>4.0999999999999996</v>
      </c>
      <c r="B25" s="80" t="s">
        <v>59</v>
      </c>
      <c r="C25" s="76" t="str">
        <f>'WRA Worksheet'!C25</f>
        <v>y</v>
      </c>
      <c r="D25" s="82">
        <f>'WRA Worksheet'!D25</f>
        <v>1</v>
      </c>
    </row>
    <row r="26" spans="1:4" x14ac:dyDescent="0.25">
      <c r="A26" s="74">
        <v>4.1100000000000003</v>
      </c>
      <c r="B26" s="75" t="s">
        <v>62</v>
      </c>
      <c r="C26" s="76" t="str">
        <f>'WRA Worksheet'!C26</f>
        <v>n</v>
      </c>
      <c r="D26" s="82">
        <f>'WRA Worksheet'!D26</f>
        <v>0</v>
      </c>
    </row>
    <row r="27" spans="1:4" x14ac:dyDescent="0.25">
      <c r="A27" s="74">
        <v>4.12</v>
      </c>
      <c r="B27" s="75" t="s">
        <v>63</v>
      </c>
      <c r="C27" s="76" t="str">
        <f>'WRA Worksheet'!C27</f>
        <v>n</v>
      </c>
      <c r="D27" s="82">
        <f>'WRA Worksheet'!D27</f>
        <v>0</v>
      </c>
    </row>
    <row r="28" spans="1:4" x14ac:dyDescent="0.25">
      <c r="A28" s="74">
        <v>5.01</v>
      </c>
      <c r="B28" s="75" t="s">
        <v>65</v>
      </c>
      <c r="C28" s="76" t="str">
        <f>'WRA Worksheet'!C28</f>
        <v>n</v>
      </c>
      <c r="D28" s="82">
        <f>'WRA Worksheet'!D28</f>
        <v>0</v>
      </c>
    </row>
    <row r="29" spans="1:4" x14ac:dyDescent="0.25">
      <c r="A29" s="74">
        <v>5.0199999999999996</v>
      </c>
      <c r="B29" s="75" t="s">
        <v>66</v>
      </c>
      <c r="C29" s="76" t="str">
        <f>'WRA Worksheet'!C29</f>
        <v>n</v>
      </c>
      <c r="D29" s="82">
        <f>'WRA Worksheet'!D29</f>
        <v>0</v>
      </c>
    </row>
    <row r="30" spans="1:4" x14ac:dyDescent="0.25">
      <c r="A30" s="74">
        <v>5.03</v>
      </c>
      <c r="B30" s="75" t="s">
        <v>68</v>
      </c>
      <c r="C30" s="76" t="str">
        <f>'WRA Worksheet'!C30</f>
        <v>y</v>
      </c>
      <c r="D30" s="82">
        <f>'WRA Worksheet'!D30</f>
        <v>1</v>
      </c>
    </row>
    <row r="31" spans="1:4" x14ac:dyDescent="0.25">
      <c r="A31" s="74">
        <v>5.04</v>
      </c>
      <c r="B31" s="75" t="s">
        <v>70</v>
      </c>
      <c r="C31" s="76" t="str">
        <f>'WRA Worksheet'!C31</f>
        <v>n</v>
      </c>
      <c r="D31" s="82">
        <f>'WRA Worksheet'!D31</f>
        <v>0</v>
      </c>
    </row>
    <row r="32" spans="1:4" x14ac:dyDescent="0.25">
      <c r="A32" s="74">
        <v>6.01</v>
      </c>
      <c r="B32" s="75" t="s">
        <v>71</v>
      </c>
      <c r="C32" s="76" t="str">
        <f>'WRA Worksheet'!C32</f>
        <v>n</v>
      </c>
      <c r="D32" s="82">
        <f>'WRA Worksheet'!D32</f>
        <v>0</v>
      </c>
    </row>
    <row r="33" spans="1:4" x14ac:dyDescent="0.25">
      <c r="A33" s="74">
        <v>6.02</v>
      </c>
      <c r="B33" s="75" t="s">
        <v>72</v>
      </c>
      <c r="C33" s="76" t="str">
        <f>'WRA Worksheet'!C33</f>
        <v>y</v>
      </c>
      <c r="D33" s="82">
        <f>'WRA Worksheet'!D33</f>
        <v>1</v>
      </c>
    </row>
    <row r="34" spans="1:4" x14ac:dyDescent="0.25">
      <c r="A34" s="74">
        <v>6.03</v>
      </c>
      <c r="B34" s="75" t="s">
        <v>75</v>
      </c>
      <c r="C34" s="76" t="str">
        <f>'WRA Worksheet'!C34</f>
        <v>y</v>
      </c>
      <c r="D34" s="82">
        <f>'WRA Worksheet'!D34</f>
        <v>1</v>
      </c>
    </row>
    <row r="35" spans="1:4" x14ac:dyDescent="0.25">
      <c r="A35" s="74">
        <v>6.04</v>
      </c>
      <c r="B35" s="75" t="s">
        <v>78</v>
      </c>
      <c r="C35" s="76" t="str">
        <f>'WRA Worksheet'!C35</f>
        <v>y</v>
      </c>
      <c r="D35" s="82">
        <f>'WRA Worksheet'!D35</f>
        <v>1</v>
      </c>
    </row>
    <row r="36" spans="1:4" x14ac:dyDescent="0.25">
      <c r="A36" s="74">
        <v>6.05</v>
      </c>
      <c r="B36" s="75" t="s">
        <v>81</v>
      </c>
      <c r="C36" s="76" t="str">
        <f>'WRA Worksheet'!C36</f>
        <v>n</v>
      </c>
      <c r="D36" s="82">
        <f>'WRA Worksheet'!D36</f>
        <v>0</v>
      </c>
    </row>
    <row r="37" spans="1:4" x14ac:dyDescent="0.25">
      <c r="A37" s="74">
        <v>6.06</v>
      </c>
      <c r="B37" s="75" t="s">
        <v>83</v>
      </c>
      <c r="C37" s="76" t="str">
        <f>'WRA Worksheet'!C37</f>
        <v>?</v>
      </c>
      <c r="D37" s="82" t="str">
        <f>'WRA Worksheet'!D37</f>
        <v xml:space="preserve"> </v>
      </c>
    </row>
    <row r="38" spans="1:4" x14ac:dyDescent="0.25">
      <c r="A38" s="74">
        <v>6.07</v>
      </c>
      <c r="B38" s="75" t="s">
        <v>86</v>
      </c>
      <c r="C38" s="81" t="str">
        <f>'WRA Worksheet'!C38</f>
        <v>?</v>
      </c>
      <c r="D38" s="82" t="str">
        <f>'WRA Worksheet'!D38</f>
        <v xml:space="preserve"> </v>
      </c>
    </row>
    <row r="39" spans="1:4" ht="30" x14ac:dyDescent="0.25">
      <c r="A39" s="74">
        <v>7.01</v>
      </c>
      <c r="B39" s="75" t="s">
        <v>88</v>
      </c>
      <c r="C39" s="76" t="str">
        <f>'WRA Worksheet'!C39</f>
        <v>y</v>
      </c>
      <c r="D39" s="82">
        <f>'WRA Worksheet'!D39</f>
        <v>1</v>
      </c>
    </row>
    <row r="40" spans="1:4" x14ac:dyDescent="0.25">
      <c r="A40" s="74">
        <v>7.02</v>
      </c>
      <c r="B40" s="75" t="s">
        <v>91</v>
      </c>
      <c r="C40" s="76" t="str">
        <f>'WRA Worksheet'!C40</f>
        <v>y</v>
      </c>
      <c r="D40" s="82">
        <f>'WRA Worksheet'!D40</f>
        <v>1</v>
      </c>
    </row>
    <row r="41" spans="1:4" x14ac:dyDescent="0.25">
      <c r="A41" s="74">
        <v>7.03</v>
      </c>
      <c r="B41" s="75" t="s">
        <v>92</v>
      </c>
      <c r="C41" s="76" t="str">
        <f>'WRA Worksheet'!C41</f>
        <v>y</v>
      </c>
      <c r="D41" s="82">
        <f>'WRA Worksheet'!D41</f>
        <v>1</v>
      </c>
    </row>
    <row r="42" spans="1:4" x14ac:dyDescent="0.25">
      <c r="A42" s="74">
        <v>7.04</v>
      </c>
      <c r="B42" s="75" t="s">
        <v>95</v>
      </c>
      <c r="C42" s="76" t="str">
        <f>'WRA Worksheet'!C42</f>
        <v>n</v>
      </c>
      <c r="D42" s="82">
        <f>'WRA Worksheet'!D42</f>
        <v>-1</v>
      </c>
    </row>
    <row r="43" spans="1:4" x14ac:dyDescent="0.25">
      <c r="A43" s="74">
        <v>7.05</v>
      </c>
      <c r="B43" s="75" t="s">
        <v>96</v>
      </c>
      <c r="C43" s="76" t="str">
        <f>'WRA Worksheet'!C43</f>
        <v>?</v>
      </c>
      <c r="D43" s="82" t="str">
        <f>'WRA Worksheet'!D43</f>
        <v xml:space="preserve"> </v>
      </c>
    </row>
    <row r="44" spans="1:4" x14ac:dyDescent="0.25">
      <c r="A44" s="74">
        <v>7.06</v>
      </c>
      <c r="B44" s="75" t="s">
        <v>98</v>
      </c>
      <c r="C44" s="76" t="str">
        <f>'WRA Worksheet'!C44</f>
        <v>y</v>
      </c>
      <c r="D44" s="82">
        <f>'WRA Worksheet'!D44</f>
        <v>1</v>
      </c>
    </row>
    <row r="45" spans="1:4" x14ac:dyDescent="0.25">
      <c r="A45" s="74">
        <v>7.07</v>
      </c>
      <c r="B45" s="75" t="s">
        <v>101</v>
      </c>
      <c r="C45" s="76" t="str">
        <f>'WRA Worksheet'!C45</f>
        <v>y</v>
      </c>
      <c r="D45" s="82">
        <f>'WRA Worksheet'!D45</f>
        <v>1</v>
      </c>
    </row>
    <row r="46" spans="1:4" x14ac:dyDescent="0.25">
      <c r="A46" s="74">
        <v>7.08</v>
      </c>
      <c r="B46" s="75" t="s">
        <v>102</v>
      </c>
      <c r="C46" s="76" t="str">
        <f>'WRA Worksheet'!C46</f>
        <v>?</v>
      </c>
      <c r="D46" s="82" t="str">
        <f>'WRA Worksheet'!D46</f>
        <v xml:space="preserve"> </v>
      </c>
    </row>
    <row r="47" spans="1:4" x14ac:dyDescent="0.25">
      <c r="A47" s="74">
        <v>8.01</v>
      </c>
      <c r="B47" s="75" t="s">
        <v>103</v>
      </c>
      <c r="C47" s="76" t="str">
        <f>'WRA Worksheet'!C47</f>
        <v>?</v>
      </c>
      <c r="D47" s="82" t="str">
        <f>'WRA Worksheet'!D47</f>
        <v xml:space="preserve"> </v>
      </c>
    </row>
    <row r="48" spans="1:4" x14ac:dyDescent="0.25">
      <c r="A48" s="74">
        <v>8.02</v>
      </c>
      <c r="B48" s="75" t="s">
        <v>105</v>
      </c>
      <c r="C48" s="76" t="str">
        <f>'WRA Worksheet'!C48</f>
        <v>?</v>
      </c>
      <c r="D48" s="82" t="str">
        <f>'WRA Worksheet'!D48</f>
        <v xml:space="preserve"> </v>
      </c>
    </row>
    <row r="49" spans="1:4" x14ac:dyDescent="0.25">
      <c r="A49" s="74">
        <v>8.0299999999999994</v>
      </c>
      <c r="B49" s="75" t="s">
        <v>106</v>
      </c>
      <c r="C49" s="76" t="str">
        <f>'WRA Worksheet'!C49</f>
        <v>y</v>
      </c>
      <c r="D49" s="82">
        <f>'WRA Worksheet'!D49</f>
        <v>-1</v>
      </c>
    </row>
    <row r="50" spans="1:4" x14ac:dyDescent="0.25">
      <c r="A50" s="74">
        <v>8.0399999999999991</v>
      </c>
      <c r="B50" s="75" t="s">
        <v>109</v>
      </c>
      <c r="C50" s="76" t="str">
        <f>'WRA Worksheet'!C50</f>
        <v>?</v>
      </c>
      <c r="D50" s="82" t="str">
        <f>'WRA Worksheet'!D50</f>
        <v xml:space="preserve"> </v>
      </c>
    </row>
    <row r="51" spans="1:4" x14ac:dyDescent="0.25">
      <c r="A51" s="74">
        <v>8.0500000000000007</v>
      </c>
      <c r="B51" s="67" t="s">
        <v>111</v>
      </c>
      <c r="C51" s="76" t="str">
        <f>'WRA Worksheet'!C51</f>
        <v>?</v>
      </c>
      <c r="D51" s="82" t="str">
        <f>'WRA Worksheet'!D51</f>
        <v xml:space="preserve"> </v>
      </c>
    </row>
    <row r="52" spans="1:4" x14ac:dyDescent="0.25">
      <c r="A52" s="31"/>
      <c r="B52" s="32" t="s">
        <v>112</v>
      </c>
      <c r="C52" s="152">
        <f>'WRA Worksheet'!D53</f>
        <v>14</v>
      </c>
      <c r="D52" s="152"/>
    </row>
    <row r="53" spans="1:4" x14ac:dyDescent="0.25">
      <c r="A53" s="33"/>
      <c r="B53" s="34" t="s">
        <v>163</v>
      </c>
      <c r="C53" s="152" t="str" cm="1">
        <f t="array" ref="C53">IF(OR('WRA Worksheet'!C71:D71="yes", 'WRA Worksheet'!C72:D72="yes", 'WRA Worksheet'!C73:D73="yes"),"yes","no")</f>
        <v>no</v>
      </c>
      <c r="D53" s="152"/>
    </row>
    <row r="54" spans="1:4" x14ac:dyDescent="0.25">
      <c r="A54" s="33"/>
      <c r="B54" s="34" t="s">
        <v>164</v>
      </c>
      <c r="C54" s="152" t="str">
        <f>IF(C53="yes", 'WRA Worksheet'!C74, 'WRA Worksheet'!D54)</f>
        <v>reject</v>
      </c>
      <c r="D54" s="152"/>
    </row>
    <row r="55" spans="1:4" ht="15.75" thickBot="1" x14ac:dyDescent="0.3">
      <c r="A55" s="35"/>
      <c r="B55" s="36"/>
      <c r="C55" s="36"/>
      <c r="D55" s="37"/>
    </row>
    <row r="56" spans="1:4" ht="39.75" thickTop="1" x14ac:dyDescent="0.25">
      <c r="A56" s="38" t="s">
        <v>165</v>
      </c>
      <c r="B56" s="39" t="s">
        <v>166</v>
      </c>
      <c r="C56" s="40" t="s">
        <v>116</v>
      </c>
      <c r="D56" s="37"/>
    </row>
    <row r="57" spans="1:4" x14ac:dyDescent="0.25">
      <c r="A57" s="41" t="s">
        <v>117</v>
      </c>
      <c r="B57" s="42">
        <f>'WRA Worksheet'!C57</f>
        <v>9</v>
      </c>
      <c r="C57" s="43" t="str">
        <f>IF(B57&gt;=2,"yes","no")</f>
        <v>yes</v>
      </c>
      <c r="D57" s="37"/>
    </row>
    <row r="58" spans="1:4" x14ac:dyDescent="0.25">
      <c r="A58" s="41" t="s">
        <v>118</v>
      </c>
      <c r="B58" s="42">
        <f>'WRA Worksheet'!C58</f>
        <v>8</v>
      </c>
      <c r="C58" s="43" t="str">
        <f>IF(B58&gt;=2,"yes","no")</f>
        <v>yes</v>
      </c>
      <c r="D58" s="37"/>
    </row>
    <row r="59" spans="1:4" x14ac:dyDescent="0.25">
      <c r="A59" s="41" t="s">
        <v>119</v>
      </c>
      <c r="B59" s="42">
        <f>'WRA Worksheet'!C59</f>
        <v>16</v>
      </c>
      <c r="C59" s="43" t="str">
        <f>IF(B59&gt;=6,"yes","no")</f>
        <v>yes</v>
      </c>
      <c r="D59" s="37"/>
    </row>
    <row r="60" spans="1:4" ht="15.75" thickBot="1" x14ac:dyDescent="0.3">
      <c r="A60" s="44" t="s">
        <v>120</v>
      </c>
      <c r="B60" s="45">
        <f>'WRA Worksheet'!C60</f>
        <v>33</v>
      </c>
      <c r="C60" s="46" t="str">
        <f>IF(C57="no","no",IF(C58="no","no",IF(C59="no","no","yes")))</f>
        <v>yes</v>
      </c>
      <c r="D60" s="37"/>
    </row>
    <row r="61" spans="1:4" ht="15.75" thickTop="1" x14ac:dyDescent="0.25"/>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x14ac:dyDescent="0.25"/>
  <cols>
    <col min="1" max="1" width="5" customWidth="1"/>
    <col min="2" max="3" width="49.42578125" customWidth="1"/>
  </cols>
  <sheetData>
    <row r="1" spans="1:3" ht="28.5" customHeight="1" x14ac:dyDescent="0.25">
      <c r="A1" s="47"/>
      <c r="B1" s="48" t="s">
        <v>8</v>
      </c>
      <c r="C1" s="49" t="s">
        <v>9</v>
      </c>
    </row>
    <row r="2" spans="1:3" x14ac:dyDescent="0.25">
      <c r="A2" s="30">
        <v>1.01</v>
      </c>
      <c r="B2" s="50" t="str" cm="1">
        <f t="array" ref="B2:C50">'WRA Worksheet'!F3:G51</f>
        <v>No evidence</v>
      </c>
      <c r="C2" s="51">
        <v>0</v>
      </c>
    </row>
    <row r="3" spans="1:3" x14ac:dyDescent="0.25">
      <c r="A3" s="30">
        <v>1.02</v>
      </c>
      <c r="B3" s="50">
        <v>0</v>
      </c>
      <c r="C3" s="50">
        <v>0</v>
      </c>
    </row>
    <row r="4" spans="1:3" x14ac:dyDescent="0.25">
      <c r="A4" s="30">
        <v>1.03</v>
      </c>
      <c r="B4" s="50">
        <v>0</v>
      </c>
      <c r="C4" s="50">
        <v>0</v>
      </c>
    </row>
    <row r="5" spans="1:3" ht="30" x14ac:dyDescent="0.25">
      <c r="A5" s="30">
        <v>2.0099999999999998</v>
      </c>
      <c r="B5" s="52" t="str">
        <v>Highly suited for Central and South. Not suitable for North</v>
      </c>
      <c r="C5" s="53" t="str">
        <v>See attached climate suitabilit map</v>
      </c>
    </row>
    <row r="6" spans="1:3" x14ac:dyDescent="0.25">
      <c r="A6" s="30">
        <v>2.02</v>
      </c>
      <c r="B6" s="53" t="str">
        <v>See attached climate suitability map</v>
      </c>
      <c r="C6" s="54">
        <v>0</v>
      </c>
    </row>
    <row r="7" spans="1:3" x14ac:dyDescent="0.25">
      <c r="A7" s="30">
        <v>2.0299999999999998</v>
      </c>
      <c r="B7" s="54" t="str">
        <v>See attached climate suitability map</v>
      </c>
      <c r="C7" s="53">
        <v>0</v>
      </c>
    </row>
    <row r="8" spans="1:3" x14ac:dyDescent="0.25">
      <c r="A8" s="30">
        <v>2.04</v>
      </c>
      <c r="B8" s="51" t="str">
        <v>See attached climate suitability map</v>
      </c>
      <c r="C8" s="51">
        <v>0</v>
      </c>
    </row>
    <row r="9" spans="1:3" ht="135" x14ac:dyDescent="0.25">
      <c r="A9" s="30">
        <v>2.0499999999999998</v>
      </c>
      <c r="B9" s="51" t="str">
        <v>Native to Central and South America as well as parts of the Caribbean. Introduced to west Africa (Sierra Leone) and Australia (1). Considered naturalized in Australia (2). Also noted as being naturalized in Hawaii (3) Numerous occurence points in northern Australia (4)</v>
      </c>
      <c r="C9" s="53" t="str">
        <v>[1] https://powo.science.kew.org/taxon/urn:lsid:ipni.org:names:1176701-2 [2] https://keyserver.lucidcentral.org/weeds/data/media/Html/stylosanthes_viscosa.htm [3] https://plantsofhawaii.org/detail/%7BDD4A1960-E7EB-4FC4-BE96-9206A4162456%7D [4] https://www.gbif.org/occurrence/map?taxon_key=2975677</v>
      </c>
    </row>
    <row r="10" spans="1:3" ht="105" x14ac:dyDescent="0.25">
      <c r="A10" s="30">
        <v>3.01</v>
      </c>
      <c r="B10" s="51" t="str">
        <v>Native to Central and South America as well as parts of the Caribbean. Introduced to west Africa (Sierra Leone) and Australia (1). Considered naturalized in Australia (2). Also noted as being naturalized in Hawaii (3)</v>
      </c>
      <c r="C10" s="53" t="str">
        <v>[1] https://powo.science.kew.org/taxon/urn:lsid:ipni.org:names:1176701-2 [2] https://keyserver.lucidcentral.org/weeds/data/media/Html/stylosanthes_viscosa.htm [3] https://plantsofhawaii.org/detail/%7BDD4A1960-E7EB-4FC4-BE96-9206A4162456%7D</v>
      </c>
    </row>
    <row r="11" spans="1:3" ht="45" x14ac:dyDescent="0.25">
      <c r="A11" s="30">
        <v>3.02</v>
      </c>
      <c r="B11" s="50" t="str">
        <v>Found near drainage channels and along paths next to canals / mowed roadsides (1). Noted to thrive in disturbed areas and roadsides (2)</v>
      </c>
      <c r="C11" s="53" t="str">
        <v>[1] Personal communications. James Wetterer (May 8, 2025). [2] https://plantiary.com/plant/stylosanthes-viscosa_43250.html</v>
      </c>
    </row>
    <row r="12" spans="1:3" ht="38.25" x14ac:dyDescent="0.25">
      <c r="A12" s="30">
        <v>3.03</v>
      </c>
      <c r="B12" s="50" t="str">
        <v>Possible given that it is grown in pastures as feed. If unmanaged may become weedy. Given lack of supporting information, answered UNKNOWN</v>
      </c>
      <c r="C12" s="53">
        <v>0</v>
      </c>
    </row>
    <row r="13" spans="1:3" ht="75" x14ac:dyDescent="0.25">
      <c r="A13" s="30">
        <v>3.04</v>
      </c>
      <c r="B13" s="51" t="str">
        <v>"Regarded as a minor environmental weed in Western Australia, the Northern Territory and northern Queensland. (1). However, not enough supporting evidence found on why. Answered UNKNOWN</v>
      </c>
      <c r="C13" s="53" t="str">
        <v>[1] https://keyserver.lucidcentral.org/weeds/data/media/Html/stylosanthes_viscosa.htm</v>
      </c>
    </row>
    <row r="14" spans="1:3" ht="90" x14ac:dyDescent="0.25">
      <c r="A14" s="30">
        <v>3.05</v>
      </c>
      <c r="B14" s="51" t="str">
        <v>Stylosanthes scabra considered invasive (1) (2)</v>
      </c>
      <c r="C14" s="53" t="str">
        <v>[1] https://www.agric.wa.gov.au/sites/gateway/files/DPIRD%20Environmental%20WRA%20Stylosanthes%20scabra.pdf [2] http://www.hear.org/pier/species/stylosanthes_scabra.htm</v>
      </c>
    </row>
    <row r="15" spans="1:3" x14ac:dyDescent="0.25">
      <c r="A15" s="30">
        <v>4.01</v>
      </c>
      <c r="B15" s="50" t="str">
        <v>No evidence</v>
      </c>
      <c r="C15" s="55">
        <v>0</v>
      </c>
    </row>
    <row r="16" spans="1:3" x14ac:dyDescent="0.25">
      <c r="A16" s="30">
        <v>4.0199999999999996</v>
      </c>
      <c r="B16" s="51" t="str">
        <v>Not enough information found</v>
      </c>
      <c r="C16" s="51">
        <v>0</v>
      </c>
    </row>
    <row r="17" spans="1:3" x14ac:dyDescent="0.25">
      <c r="A17" s="30">
        <v>4.03</v>
      </c>
      <c r="B17" s="51" t="str">
        <v>No evidence</v>
      </c>
      <c r="C17" s="51">
        <v>0</v>
      </c>
    </row>
    <row r="18" spans="1:3" ht="120" x14ac:dyDescent="0.25">
      <c r="A18" s="30">
        <v>4.04</v>
      </c>
      <c r="B18" s="51" t="str">
        <v>Considered as a forage feed for livestock (1) (2) (3)</v>
      </c>
      <c r="C18" s="51" t="str">
        <v>[1] https://core.ac.uk/download/pdf/132633365.pdf [2] https://weeds.org.au/wp-content/uploads/2020/02/tech_series_3.pdf [3] Weiss, J., Thinley, T., Karma Nidup, K. N., Mahesh Ghimiray, M. G., Sangay Wandi, S. W., &amp; Tshering Dochen, T. D. (2004). Working with weeds in the Land of the Thunderdragon: an opportunity to prevent weed invasions.</v>
      </c>
    </row>
    <row r="19" spans="1:3" x14ac:dyDescent="0.25">
      <c r="A19" s="30">
        <v>4.05</v>
      </c>
      <c r="B19" s="51" t="str">
        <v>No evidence</v>
      </c>
      <c r="C19" s="51">
        <v>0</v>
      </c>
    </row>
    <row r="20" spans="1:3" ht="45" x14ac:dyDescent="0.25">
      <c r="A20" s="30">
        <v>4.0599999999999996</v>
      </c>
      <c r="B20" s="51" t="str">
        <v>Not enough information found plant will increase risk of pathogens and pests, although it is noted to be susceptible to anthracnose and blight (1)</v>
      </c>
      <c r="C20" s="51" t="str">
        <v>[1] https://tropicalforages.info/text/entities/stylosanthes_viscosa.htm</v>
      </c>
    </row>
    <row r="21" spans="1:3" x14ac:dyDescent="0.25">
      <c r="A21" s="30">
        <v>4.07</v>
      </c>
      <c r="B21" s="51" t="str">
        <v>No evidence</v>
      </c>
      <c r="C21" s="51">
        <v>0</v>
      </c>
    </row>
    <row r="22" spans="1:3" ht="45" x14ac:dyDescent="0.25">
      <c r="A22" s="30">
        <v>4.08</v>
      </c>
      <c r="B22" s="51" t="str">
        <v>Noted that some ecotypes are fire tolerant (1). Not enough supporting evidence found regarding fire risk. Answered UNKNOWN</v>
      </c>
      <c r="C22" s="53" t="str">
        <v>[1] https://tropicalforages.info/pdf/stylosanthes_viscosa.pdf</v>
      </c>
    </row>
    <row r="23" spans="1:3" ht="105" x14ac:dyDescent="0.25">
      <c r="A23" s="30">
        <v>4.09</v>
      </c>
      <c r="B23" s="51" t="str">
        <v>Prefers open habitats. Suspected that it has low tolerance of shade (1). However, a study in Brazil showed phenotypic plasticity occuring with different light exposure. This implies that the taxon can grow in shade. (2). Given conflicting information, answered UNKNOWN</v>
      </c>
      <c r="C23" s="51" t="str">
        <v>[1] https://tropicalforages.info/pdf/stylosanthes_viscosa.pdf [2] Dirksen, J. S., &amp; JÚNIOR, J. C. F. D. M. (2018). Morpho-anatomical plasticity of Stylosanthes viscosa (Fabaceae) in response to different soil and light conditions of Restinga environments. Pak. J. Bot, 50(5), 1877-1884.</v>
      </c>
    </row>
    <row r="24" spans="1:3" ht="60" x14ac:dyDescent="0.25">
      <c r="A24" s="30">
        <v>4.0999999999999996</v>
      </c>
      <c r="B24" s="51" t="str">
        <v>Noted to grow in well draining soils (1) (2)</v>
      </c>
      <c r="C24" s="51" t="str">
        <v>[1] https://tropicalforages.info/pdf/stylosanthes_viscosa.pdf [2] https://plantiary.com/plant/stylosanthes-viscosa_43250.html</v>
      </c>
    </row>
    <row r="25" spans="1:3" x14ac:dyDescent="0.25">
      <c r="A25" s="30">
        <v>4.1100000000000003</v>
      </c>
      <c r="B25" s="51" t="str">
        <v>No evidence</v>
      </c>
      <c r="C25" s="51">
        <v>0</v>
      </c>
    </row>
    <row r="26" spans="1:3" ht="30" x14ac:dyDescent="0.25">
      <c r="A26" s="30">
        <v>4.12</v>
      </c>
      <c r="B26" s="51" t="str">
        <v>No evidence plant forms dense thickets enough to impeded movement</v>
      </c>
      <c r="C26" s="51">
        <v>0</v>
      </c>
    </row>
    <row r="27" spans="1:3" x14ac:dyDescent="0.25">
      <c r="A27" s="30">
        <v>5.01</v>
      </c>
      <c r="B27" s="51" t="str">
        <v>No evidence</v>
      </c>
      <c r="C27" s="51">
        <v>0</v>
      </c>
    </row>
    <row r="28" spans="1:3" x14ac:dyDescent="0.25">
      <c r="A28" s="30">
        <v>5.0199999999999996</v>
      </c>
      <c r="B28" s="51" t="str">
        <v>Not of the Poaceae family</v>
      </c>
      <c r="C28" s="51">
        <v>0</v>
      </c>
    </row>
    <row r="29" spans="1:3" x14ac:dyDescent="0.25">
      <c r="A29" s="30">
        <v>5.03</v>
      </c>
      <c r="B29" s="51" t="str">
        <v>Is of the Fabaceae family</v>
      </c>
      <c r="C29" s="51">
        <v>0</v>
      </c>
    </row>
    <row r="30" spans="1:3" ht="30" x14ac:dyDescent="0.25">
      <c r="A30" s="30">
        <v>5.04</v>
      </c>
      <c r="B30" s="51" t="str">
        <v>No evidence plant forms dense thickets enough to impeded movement</v>
      </c>
      <c r="C30" s="51">
        <v>0</v>
      </c>
    </row>
    <row r="31" spans="1:3" x14ac:dyDescent="0.25">
      <c r="A31" s="30">
        <v>6.01</v>
      </c>
      <c r="B31" s="50" t="str">
        <v>No evidence</v>
      </c>
      <c r="C31" s="51">
        <v>0</v>
      </c>
    </row>
    <row r="32" spans="1:3" ht="105" x14ac:dyDescent="0.25">
      <c r="A32" s="30">
        <v>6.02</v>
      </c>
      <c r="B32" s="51" t="str">
        <v>Propagates by seed (1) (2)</v>
      </c>
      <c r="C32" s="51" t="str">
        <v xml:space="preserve">[1] https://tropicalforages.info/text/entities/stylosanthes_viscosa.htm [2] Kretschmer, A.E. Jr. and J.B. Brolmann.  1984.  Global ventures in Stylosanthes II. U.S.A. and Caribbean. Pp. 467–486 in H.M. Stace and L.A. Edye (eds.) The Biology and Agronomy of Stylosanthes. Academic Press Australia. </v>
      </c>
    </row>
    <row r="33" spans="1:3" ht="120" x14ac:dyDescent="0.25">
      <c r="A33" s="30">
        <v>6.03</v>
      </c>
      <c r="B33" s="51" t="str">
        <v>Inter specific crosses noted to occur (1). Molecular evidence supports hybrid origin of new Stylosanthes species from S. viscosa and S. calcicola (2)</v>
      </c>
      <c r="C33" s="51" t="str">
        <v>[1] https://tropicalforages.info/text/entities/stylosanthes_viscosa.htm [2] Stappen, J. V., Lopez, U. G., Davila, P., &amp; Volckaert, G. (2002). Molecular evidence for the hybrid origin of a new endemic species of Stylosanthes Sw.(Fabaceae) from the Mexican Yucatán Peninsula. Botanical journal of the linnean society, 140(1), 1-13.</v>
      </c>
    </row>
    <row r="34" spans="1:3" ht="90" x14ac:dyDescent="0.25">
      <c r="A34" s="30">
        <v>6.04</v>
      </c>
      <c r="B34" s="51" t="str">
        <v>Shown to be self-compatible [1]</v>
      </c>
      <c r="C34" s="51" t="str">
        <v>[1] Ramalho, M., &amp; Rosa, J. F. (2010). Ecological interaction between the tiny keel flowers of Stylosanthes viscosa Sw.(Faboideae) and the large bee Xylocopa (Neoxylocopa) cearensis Ducke, 1910 (Apoidea, Hymenoptera), in tropical sand dune. Biota Neotropica, 10, 93-100.</v>
      </c>
    </row>
    <row r="35" spans="1:3" ht="90" x14ac:dyDescent="0.25">
      <c r="A35" s="30">
        <v>6.05</v>
      </c>
      <c r="B35" s="51" t="str">
        <v>Pollinated by insects (1)</v>
      </c>
      <c r="C35" s="51" t="str">
        <v>[1] Ramalho, M., &amp; Rosa, J. F. (2010). Ecological interaction between the tiny keel flowers of Stylosanthes viscosa Sw.(Faboideae) and the large bee Xylocopa (Neoxylocopa) cearensis Ducke, 1910 (Apoidea, Hymenoptera), in tropical sand dune. Biota Neotropica, 10, 93-100.</v>
      </c>
    </row>
    <row r="36" spans="1:3" ht="45" x14ac:dyDescent="0.25">
      <c r="A36" s="30">
        <v>6.06</v>
      </c>
      <c r="B36" s="51" t="str">
        <v>Not enough information found. Propagation by cuttings suggested for genus, but not enough supporting information found (1)</v>
      </c>
      <c r="C36" s="51" t="str">
        <v>[1] https://greg.app/stylosanthes-overview/</v>
      </c>
    </row>
    <row r="37" spans="1:3" x14ac:dyDescent="0.25">
      <c r="A37" s="30">
        <v>6.07</v>
      </c>
      <c r="B37" s="51" t="str">
        <v xml:space="preserve">Not enough information found </v>
      </c>
      <c r="C37" s="51">
        <v>0</v>
      </c>
    </row>
    <row r="38" spans="1:3" ht="60" x14ac:dyDescent="0.25">
      <c r="A38" s="30">
        <v>7.01</v>
      </c>
      <c r="B38" s="51" t="str">
        <v>Found near drainage channels and along paths next to canals / mowed roadsides (1) (2)</v>
      </c>
      <c r="C38" s="51" t="str">
        <v>[1] Personal communications. James Wetterer (May 8, 2025). [2] https://apsa.anu.edu.au/samples/sample.php?id=129-199-4</v>
      </c>
    </row>
    <row r="39" spans="1:3" ht="120" x14ac:dyDescent="0.25">
      <c r="A39" s="30">
        <v>7.02</v>
      </c>
      <c r="B39" s="51" t="str">
        <v>Considered as a forage feed for livestock (1) (2) (3)</v>
      </c>
      <c r="C39" s="51" t="str">
        <v>[1] https://core.ac.uk/download/pdf/132633365.pdf [2] https://weeds.org.au/wp-content/uploads/2020/02/tech_series_3.pdf [3] Weiss, J., Thinley, T., Karma Nidup, K. N., Mahesh Ghimiray, M. G., Sangay Wandi, S. W., &amp; Tshering Dochen, T. D. (2004). Working with weeds in the Land of the Thunderdragon: an opportunity to prevent weed invasions.</v>
      </c>
    </row>
    <row r="40" spans="1:3" ht="150" x14ac:dyDescent="0.25">
      <c r="A40" s="30">
        <v>7.03</v>
      </c>
      <c r="B40" s="50" t="str">
        <v>Possible given small seeds (1) Closely related congener (S. scabra) noted to be a contaminat of hay (2). Noted to be a contaminant of hay (3)*</v>
      </c>
      <c r="C40" s="51" t="str">
        <v>[1] https://tropicalforages.info/pdf/stylosanthes_viscosa.pdf (2) https://keyserver.lucidcentral.org/weeds/data/media/Html/stylosanthes_scabra.htm [3] https://apsa.anu.edu.au/samples/sample.php?id=129-199-4 *: Could not acquire source cited in website - Smith, N. M. (2002) Weeds of the wet/dry tropics of Australia - a field guide. Environmental Centre NT, Inc.</v>
      </c>
    </row>
    <row r="41" spans="1:3" x14ac:dyDescent="0.25">
      <c r="A41" s="30">
        <v>7.04</v>
      </c>
      <c r="B41" s="51" t="str">
        <v>No evidence</v>
      </c>
      <c r="C41" s="51">
        <v>0</v>
      </c>
    </row>
    <row r="42" spans="1:3" ht="30" x14ac:dyDescent="0.25">
      <c r="A42" s="30">
        <v>7.05</v>
      </c>
      <c r="B42" s="51" t="str">
        <v>Possible that legumes can float, but not enough information found</v>
      </c>
      <c r="C42" s="51">
        <v>0</v>
      </c>
    </row>
    <row r="43" spans="1:3" ht="120" x14ac:dyDescent="0.25">
      <c r="A43" s="30">
        <v>7.06</v>
      </c>
      <c r="B43" s="51" t="str">
        <v>Likely given that  Stylosanthes seeds are noted to adhere to surfaces (1). Additionally, parts of the plant are sticky, so it could assist in transporting seed bearing plant parts (2)</v>
      </c>
      <c r="C43" s="51" t="str">
        <v>[1] da Silva Ferreira, J. J., Fortuna Perez, A. P., Lewis, G. P., &amp; Silva, J. S. (2021). Characteristics of the fruits of Brazilian species of Stylosanthes Sw.(Leguminosae) and their taxonomic value. International Journal of Plant Sciences, 182(2), 133-150. [2] https://www.flowersofindia.net/catalog/slides/Sticky%20Stylo.html</v>
      </c>
    </row>
    <row r="44" spans="1:3" ht="120" x14ac:dyDescent="0.25">
      <c r="A44" s="30">
        <v>7.07</v>
      </c>
      <c r="B44" s="51" t="str">
        <v>Likely given that  Stylosanthes seeds are noted to adhere to surfaces (1). Additionally, parts of the plant are sticky, so it could assist in transporting seed bearing plant parts (2)</v>
      </c>
      <c r="C44" s="51" t="str">
        <v>[1] da Silva Ferreira, J. J., Fortuna Perez, A. P., Lewis, G. P., &amp; Silva, J. S. (2021). Characteristics of the fruits of Brazilian species of Stylosanthes Sw.(Leguminosae) and their taxonomic value. International Journal of Plant Sciences, 182(2), 133-150. [2] https://www.flowersofindia.net/catalog/slides/Sticky%20Stylo.html</v>
      </c>
    </row>
    <row r="45" spans="1:3" x14ac:dyDescent="0.25">
      <c r="A45" s="30">
        <v>7.08</v>
      </c>
      <c r="B45" s="50" t="str">
        <v xml:space="preserve">Not enough information found </v>
      </c>
      <c r="C45" s="51">
        <v>0</v>
      </c>
    </row>
    <row r="46" spans="1:3" ht="45" x14ac:dyDescent="0.25">
      <c r="A46" s="30">
        <v>8.01</v>
      </c>
      <c r="B46" s="50" t="str">
        <v>Noted to produce 400k-500k seeds per kg. (1) However, unclear if this refers to seed production capacity of a single plant. Answered UNKNOWN</v>
      </c>
      <c r="C46" s="51" t="str">
        <v>[1] https://tropicalforages.info/text/entities/stylosanthes_viscosa.htm</v>
      </c>
    </row>
    <row r="47" spans="1:3" x14ac:dyDescent="0.25">
      <c r="A47" s="30">
        <v>8.02</v>
      </c>
      <c r="B47" s="51" t="str">
        <v xml:space="preserve">Not enough information found </v>
      </c>
      <c r="C47" s="51">
        <v>0</v>
      </c>
    </row>
    <row r="48" spans="1:3" ht="60" x14ac:dyDescent="0.25">
      <c r="A48" s="30">
        <v>8.0299999999999994</v>
      </c>
      <c r="B48" s="51" t="str">
        <v>Herbicides noted to be effective. Trifluralin and 2,4-d recommended (1) (2)</v>
      </c>
      <c r="C48" s="51" t="str">
        <v>[1] https://tropicalforages.info/text/entities/stylosanthes_viscosa.htm [2] https://core.ac.uk/download/pdf/132633365.pdf</v>
      </c>
    </row>
    <row r="49" spans="1:3" ht="45" x14ac:dyDescent="0.25">
      <c r="A49" s="30">
        <v>8.0399999999999991</v>
      </c>
      <c r="B49" s="51" t="str">
        <v xml:space="preserve">Not enough information found. Maybe unlikely as this plant does not seem to be propagated vegetatively for the most part. </v>
      </c>
      <c r="C49" s="51">
        <v>0</v>
      </c>
    </row>
    <row r="50" spans="1:3" x14ac:dyDescent="0.25">
      <c r="A50" s="30">
        <v>8.0500000000000007</v>
      </c>
      <c r="B50" s="50" t="str">
        <v xml:space="preserve">Not enough information found </v>
      </c>
      <c r="C50" s="51">
        <v>0</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18D8A9-9A1B-46E6-ACC4-F78038D0D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1a967f-c9b6-4417-8b28-12bf5b07c60b"/>
    <ds:schemaRef ds:uri="898990d9-3832-423e-b64c-5c8524f186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4714E1-6774-437D-801A-4B8EB940739E}">
  <ds:schemaRefs>
    <ds:schemaRef ds:uri="http://schemas.microsoft.com/office/2006/metadata/properties"/>
    <ds:schemaRef ds:uri="http://schemas.microsoft.com/office/infopath/2007/PartnerControls"/>
    <ds:schemaRef ds:uri="f21a967f-c9b6-4417-8b28-12bf5b07c60b"/>
    <ds:schemaRef ds:uri="898990d9-3832-423e-b64c-5c8524f186af"/>
  </ds:schemaRefs>
</ds:datastoreItem>
</file>

<file path=customXml/itemProps3.xml><?xml version="1.0" encoding="utf-8"?>
<ds:datastoreItem xmlns:ds="http://schemas.openxmlformats.org/officeDocument/2006/customXml" ds:itemID="{C72C3439-75BE-411A-8E6B-DF10E44BE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WRA Worksheet</vt:lpstr>
      <vt:lpstr>LUT</vt:lpstr>
      <vt:lpstr>PDF Template Scoresheet</vt:lpstr>
      <vt:lpstr>PDF Template Refs &amp;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Seokmin Kim</cp:lastModifiedBy>
  <cp:revision/>
  <dcterms:created xsi:type="dcterms:W3CDTF">2021-06-15T16:34:22Z</dcterms:created>
  <dcterms:modified xsi:type="dcterms:W3CDTF">2025-05-09T17:09:08Z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