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8"/>
  <workbookPr defaultThemeVersion="166925"/>
  <mc:AlternateContent xmlns:mc="http://schemas.openxmlformats.org/markup-compatibility/2006">
    <mc:Choice Requires="x15">
      <x15ac:absPath xmlns:x15ac="http://schemas.microsoft.com/office/spreadsheetml/2010/11/ac" url="/Users/seokminkim/Desktop/Assessments/"/>
    </mc:Choice>
  </mc:AlternateContent>
  <xr:revisionPtr revIDLastSave="194" documentId="13_ncr:1_{C116D94F-4D03-3B40-8287-B36BBAD89845}" xr6:coauthVersionLast="47" xr6:coauthVersionMax="47" xr10:uidLastSave="{645B4F1F-5527-4AC2-88FA-ECBB799BF528}"/>
  <bookViews>
    <workbookView xWindow="1420" yWindow="760" windowWidth="27260" windowHeight="17140" xr2:uid="{DC9EAAB9-A961-4D36-B025-37CCF3FD5897}"/>
  </bookViews>
  <sheets>
    <sheet name="WRA Worksheet" sheetId="1" r:id="rId1"/>
    <sheet name="LUT" sheetId="2" r:id="rId2"/>
    <sheet name="PDF Template Scoresheet" sheetId="3" r:id="rId3"/>
    <sheet name="PDF Template Refs &amp; Data" sheetId="4" r:id="rId4"/>
  </sheets>
  <definedNames>
    <definedName name="_xlnm._FilterDatabase" localSheetId="0" hidden="1">'WRA Worksheet'!$B$65:$C$67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 l="1"/>
  <c r="D4" i="3" s="1"/>
  <c r="A1" i="3"/>
  <c r="D71" i="1"/>
  <c r="D73" i="1"/>
  <c r="C74" i="1" s="1"/>
  <c r="C53" i="3" a="1"/>
  <c r="C53" i="3" s="1"/>
  <c r="D72" i="1"/>
  <c r="I26" i="2"/>
  <c r="I27" i="2"/>
  <c r="D3" i="1"/>
  <c r="D3" i="3" s="1"/>
  <c r="D5" i="1"/>
  <c r="D5" i="3" s="1"/>
  <c r="D8" i="1"/>
  <c r="D8" i="3" s="1"/>
  <c r="D9" i="1"/>
  <c r="D9" i="3" s="1"/>
  <c r="D11" i="1"/>
  <c r="D11" i="3" s="1"/>
  <c r="D12" i="1"/>
  <c r="D12" i="3" s="1"/>
  <c r="D13" i="1"/>
  <c r="D13" i="3" s="1"/>
  <c r="D14" i="1"/>
  <c r="D14" i="3" s="1"/>
  <c r="D15" i="1"/>
  <c r="D15" i="3" s="1"/>
  <c r="D16" i="1"/>
  <c r="D16" i="3" s="1"/>
  <c r="D17" i="1"/>
  <c r="D17" i="3" s="1"/>
  <c r="D18" i="1"/>
  <c r="D18" i="3" s="1"/>
  <c r="D19" i="1"/>
  <c r="D19" i="3" s="1"/>
  <c r="D20" i="1"/>
  <c r="D20" i="3" s="1"/>
  <c r="D21" i="1"/>
  <c r="D21" i="3" s="1"/>
  <c r="D22" i="1"/>
  <c r="D22" i="3" s="1"/>
  <c r="D23" i="1"/>
  <c r="D23" i="3" s="1"/>
  <c r="D24" i="1"/>
  <c r="D24" i="3" s="1"/>
  <c r="D25" i="1"/>
  <c r="D25" i="3" s="1"/>
  <c r="D26" i="1"/>
  <c r="D26" i="3" s="1"/>
  <c r="D27" i="1"/>
  <c r="D27" i="3" s="1"/>
  <c r="D28" i="1"/>
  <c r="D28" i="3" s="1"/>
  <c r="D29" i="1"/>
  <c r="D29" i="3" s="1"/>
  <c r="D30" i="1"/>
  <c r="D30" i="3" s="1"/>
  <c r="D31" i="1"/>
  <c r="D31" i="3" s="1"/>
  <c r="D32" i="1"/>
  <c r="D32" i="3" s="1"/>
  <c r="D33" i="1"/>
  <c r="D33" i="3" s="1"/>
  <c r="D34" i="1"/>
  <c r="D34" i="3" s="1"/>
  <c r="D35" i="1"/>
  <c r="D35" i="3" s="1"/>
  <c r="D36" i="1"/>
  <c r="D36" i="3" s="1"/>
  <c r="D37" i="1"/>
  <c r="D37" i="3" s="1"/>
  <c r="D38" i="1"/>
  <c r="D38" i="3" s="1"/>
  <c r="D39" i="1"/>
  <c r="D39" i="3" s="1"/>
  <c r="D40" i="1"/>
  <c r="D40" i="3" s="1"/>
  <c r="D41" i="1"/>
  <c r="D41" i="3" s="1"/>
  <c r="D42" i="1"/>
  <c r="D42" i="3" s="1"/>
  <c r="D43" i="1"/>
  <c r="D43" i="3" s="1"/>
  <c r="D44" i="1"/>
  <c r="D44" i="3" s="1"/>
  <c r="D45" i="1"/>
  <c r="D45" i="3" s="1"/>
  <c r="D46" i="1"/>
  <c r="D46" i="3" s="1"/>
  <c r="D47" i="1"/>
  <c r="D47" i="3" s="1"/>
  <c r="D48" i="1"/>
  <c r="D48" i="3" s="1"/>
  <c r="D49" i="1"/>
  <c r="D49" i="3" s="1"/>
  <c r="D50" i="1"/>
  <c r="D50" i="3" s="1"/>
  <c r="D51" i="1"/>
  <c r="D51" i="3" s="1"/>
  <c r="C57" i="1"/>
  <c r="B57" i="3" s="1"/>
  <c r="C57" i="3" s="1"/>
  <c r="C58" i="1"/>
  <c r="B58" i="3" s="1"/>
  <c r="C58" i="3" s="1"/>
  <c r="C59" i="1"/>
  <c r="B59" i="3" s="1"/>
  <c r="C59" i="3" s="1"/>
  <c r="B2" i="4" a="1"/>
  <c r="B2" i="4" s="1"/>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C6" i="3"/>
  <c r="C4" i="3"/>
  <c r="C5" i="3"/>
  <c r="C3" i="3"/>
  <c r="D59" i="1" l="1"/>
  <c r="D58" i="1"/>
  <c r="C60" i="3"/>
  <c r="C60" i="1"/>
  <c r="B60" i="3" s="1"/>
  <c r="D57" i="1"/>
  <c r="D53" i="1"/>
  <c r="D60" i="1" l="1"/>
  <c r="D54" i="1"/>
  <c r="C54" i="3" s="1"/>
  <c r="C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<sst xmlns="http://schemas.openxmlformats.org/spreadsheetml/2006/main" count="333" uniqueCount="171">
  <si>
    <t>Species:</t>
  </si>
  <si>
    <t>Eucalyptus benthamii</t>
  </si>
  <si>
    <r>
      <rPr>
        <sz val="11"/>
        <color rgb="FF000000"/>
        <rFont val="Calibri"/>
      </rPr>
      <t>Assessment date:</t>
    </r>
    <r>
      <rPr>
        <sz val="11"/>
        <color rgb="FFFF0000"/>
        <rFont val="Calibri"/>
      </rPr>
      <t xml:space="preserve"> 21 November 2025</t>
    </r>
    <r>
      <rPr>
        <sz val="11"/>
        <color rgb="FF000000"/>
        <rFont val="Calibri"/>
      </rPr>
      <t xml:space="preserve"> Prepared by Cameron Deelstra</t>
    </r>
  </si>
  <si>
    <t>Number</t>
  </si>
  <si>
    <t>Question</t>
  </si>
  <si>
    <t>Answer</t>
  </si>
  <si>
    <t>Score</t>
  </si>
  <si>
    <t>Uncertainty</t>
  </si>
  <si>
    <t>Evidence</t>
  </si>
  <si>
    <t>Reference</t>
  </si>
  <si>
    <t>Is the species highly domesticated?</t>
  </si>
  <si>
    <t>n</t>
  </si>
  <si>
    <t>Has the species become naturalised where grown?</t>
  </si>
  <si>
    <t>Does the species have weedy races?</t>
  </si>
  <si>
    <t>Species suited to Florida's USDA climate zones (1-low; 2-intermediate; 3-high)
       North Zone: suited to Zones 8, 9
       Central Zone: suited to Zones 9, 10
       South Zone: suited to Zone 10</t>
  </si>
  <si>
    <t xml:space="preserve">No computer analysis was performed. 
1. Global plant hardiness zones (8?-)9-10; equivalent to USDA Hardiness zones (8?-)9-10. 
2. Restricted distribution in coastal New South Wales, south-west of Sydney on the flats of the Nepean River and its tributaries between Wallacia and Camden. Another larger population is on Kedumba Creek  (about 5 km upstream from the junction with the old Coxs River). 
3.a. Occurring on the alluvial floodplains of the Nepean River and its tributaries, south-west of Sydney, Australia. 
3.b. Species is now confined to one population of approximately 6500 trees in the Kedumba valley and three remnant populations on the Nepean River at Bents Basin (about 300 trees), Wallacia (nine trees), and Camden (about 30 trees). 
4. E. benthamii is found in limited areas, west of Sydney plains along the Nepean River and its tributaries. 
5. The habitat of E. benthamii is restricted to the alluvial flats of the Kedumba/Cox/Nepean river system at an altitude of 140-750m. </t>
  </si>
  <si>
    <t xml:space="preserve">1. PERAL NAPPFAST Global Plant Hardiness (http://www.nappfast.org/Plant_hardiness/NAPPFAST%20Global%20zones/10-year%20climate/PLANT_HARDINESS_10YR%20lgnd.tif) &amp; USDA Plant Hardiness Zone Map, 2012. Agricultural Research Service, U.S. Department of Agriculture. Accessed from http://planthardiness.ars.usda.gov. 
2. Benson, D.H. 1985. Aspects of the ecology of a rare tree species, Eucalyptus benthamii , at Bents Basin, Wallacia. Cunninghamia 1(3): 371-383. 
3.a-b. Butcher, P.A. et al. 2005. Increased inbreeding and inter-species gene flow in remnanat populations of the rare Eucalyptus benthamii. Conservation Genetics 6: 213-226. 
4. Clara, Victoria Higa Rosana. 1999. Ecological and Forestry of Eucalyptus benthamii Maiden camber ET. Bulletin of Forestry Research, Colombo No. 38: 121-123. 
5. Threatened Species Unit, Central Directorate, New South Wales National Parks and Wildlife Service. Environmental Impact Assessment Guidelines. Eucalyptus benthamii Maiden and Cambage. May 2000. On-line. http://www.environment.nsw.gov.au/resources/nature/EbenthamiiEia0500.pdf. Accessed: 28 June 2011. </t>
  </si>
  <si>
    <t>Quality of climate match data (1-low; 2-intermediate; 3-high)</t>
  </si>
  <si>
    <t>?</t>
  </si>
  <si>
    <t xml:space="preserve">No computer analysis was performed.  </t>
  </si>
  <si>
    <t>Broad climate suitability (environmental versatility)</t>
  </si>
  <si>
    <t>Taxon is limited to one or two climatic zones (1)(2).</t>
  </si>
  <si>
    <t>(2) https://powo.science.kew.org/taxon/urn:lsid:ipni.org:names:592726-1
(2) https://hess.copernicus.org/articles/11/1633/2007/hess-11-1633-2007.pdf</t>
  </si>
  <si>
    <t>Native or naturalized in habitats with periodic inundation
       North Zone: mean annual precipitation 50-70 inches
       Central Zone: mean annual precipitation 40-60 inches
       South Zone: mean annual precipitation 40-60 inches</t>
  </si>
  <si>
    <t>y</t>
  </si>
  <si>
    <t>Mean annual precipitation in the native southwest of New South Wales is 1200-2000 mm (47.2"-78.7"). 
2. Rainfall year is 1100 mm (43") with peaks in summer and mild autumn</t>
  </si>
  <si>
    <t xml:space="preserve">1. Commonwealth of Australia 2011, Bureau of Meteorology. http://www.bom.gov.au/climate/averages/maps.shtml. Accessed: 3 April 2012. 
2. Clara, Victoria Higa Rosana. 1999. Ecological and Forestry of Eucalyptus benthamii Maiden camber ET. Bulletin of Forestry Research, Colombo No. 38: 121-123. </t>
  </si>
  <si>
    <t>Does the species have a history of repeated introductions outside its natural range?</t>
  </si>
  <si>
    <t>1. Eucalyptus benthamii is a forest tree of interest for plantation forestry. 
2. In the 1980s, six site x species interaction trials were planted in 1990-1991, including E. benthamii . 
3. Cultivation large-diameter eucalypts is a new trend in China and elsewhere. The main species being tested include E. benthamii ,...etc. in Fujian, Guangdong, Guangxi, Hainan, Hunan and Yunnan.</t>
  </si>
  <si>
    <t>1. Butcher, P.A. et al. 2005. Increased inbreeding and interspecies gene flow in remnanat populations of the rare Eucalyptus benthamii . Conservation Genetics 6: 213-226. 
2. Little, K.M &amp; Gardner, A.W. 2003. Coppicing ability of 20 Eucalyptus species grown at two high-altitude sites in South Africa. Canadian Journal of Forest Research 33: 181-189. 
3. Turnbull, J.W., ed., 2003. Eucalypts in Asia. Proceedings of an International Conference held in Zhanjiang, Guangdong, People’s Republic of China, 7–11 April 2003. ACIAR Proceedings No. 111, 267 p.</t>
  </si>
  <si>
    <t>Naturalized beyond native range</t>
  </si>
  <si>
    <t>Taxon is cultivated for lumber in several regions. Currently, little evidence of escape exists (1).</t>
  </si>
  <si>
    <t xml:space="preserve">(1) 
  Butnor, J. R., Johnsen, K. H., Anderson, P. H., Hall, K. B., Halman, J. M., Hawley, G. J., Maier, C. A., &amp; Schaberg, P. G. (2019). Growth, Photosynthesis, and Cold Tolerance of Eucalyptus benthamii Planted in the Piedmont of North Carolina. Forest Science, 65(1), 59–67. https://doi.org/10.1093/forsci/fxy030
</t>
  </si>
  <si>
    <t>Garden/amenity/disturbance weed</t>
  </si>
  <si>
    <t>No evidence</t>
  </si>
  <si>
    <t>Weed of agriculture</t>
  </si>
  <si>
    <t>Environmental weed</t>
  </si>
  <si>
    <t>Congeneric weed</t>
  </si>
  <si>
    <t>1. The following eucalypts are considered principal weeds in Australia (principal weed in this context is ranked according to the importance of the weed and is usually referring to about the five most troublesome species for the crop): E. cambageana, E. ferruginea, E. gracilis, E. marginata, E. miniata, E. pilularis, E. populnea, E. tetradonta .
2. E. cambageana is considered a weed of agriculture.</t>
  </si>
  <si>
    <t>1. Holm, L. et al. A Geographical Atlas of World Weeds. John Wiley and Sons, New York. 1979.
2. https://www.fs.usda.gov/psw/publications/documents/psw_gtr069/psw_gtr069_05_elmore.pdf</t>
  </si>
  <si>
    <t>Produces spines, thorns or burrs</t>
  </si>
  <si>
    <t>Allelopathic</t>
  </si>
  <si>
    <t>Unknown. 
1. "Allelopathy is widely considered to be one of the causes of biodiversity reduction in Eucalyptus plantations. However, most research conducted on the allelopathic effects of Eucalyptus is performed in the laboratory with weeds and crops as receptors, which fail to fully reflect natural ecosystems."</t>
  </si>
  <si>
    <t xml:space="preserve">1. 
  Chu, C., Mortimer, P. E., Wang, H., Wang, Y., Liu, X., &amp; Yu, S. (2014). Allelopathic effects of Eucalyptus on native and introduced tree species. Forest Ecology and Management, 323, 79–84. https://doi.org/10.1016/j.foreco.2014.03.004
</t>
  </si>
  <si>
    <t>Parasitic</t>
  </si>
  <si>
    <t>Unpalatable to grazing animals</t>
  </si>
  <si>
    <t xml:space="preserve">Unknown. </t>
  </si>
  <si>
    <t>Toxic to animals</t>
  </si>
  <si>
    <t>Plant contains toxic chemical, but is noted to be medicinal (1)(2).</t>
  </si>
  <si>
    <t xml:space="preserve">(1) 
  Kanunfre, C. C., Nakashima, T., Padilha de Paula, J., Sales Maia, B. H. L. de N., Sartoratto, A., Döll-Boscardin, P. M., &amp; Farago, P. V. (2012). In Vitro Cytotoxic Potential of Essential Oils of Eucalyptus benthamii and Its Related Terpenes on Tumor Cell Lines. Evidence-Based Complementary and Alternative Medicine, 2012(2012), 1–8. https://doi.org/10.1155/2012/342652
(2) Farago, Paulo &amp; Döll-Boscardin, Patrícia &amp; Kanunfre, Carla &amp; Manfron, Jane. (2015). Cytotoxic potential of essential oils of Eucalyptus benthamii and its related terpenes on tumor cell lines. Planta Medica. 81. 10.1055/s-0035-1556209. </t>
  </si>
  <si>
    <t>Host for recognised pests and pathogens</t>
  </si>
  <si>
    <t>Causes allergies or is otherwise toxic to humans</t>
  </si>
  <si>
    <t>Taxon is noted to cause severe medical emergencies and mortality upon ingestion (1)(2).</t>
  </si>
  <si>
    <t>(1) 
  Suresh, D., VijayaKumar, S., Pradhan, P., &amp; Balasubramanian, S. (2025). Fatal Eucalyptus Oil Poisoning in an Adult Male: A Case Report With Comprehensive Autopsy and Histopathological Findings. Curēus (Palo Alto, CA), 17(4), e83053. https://doi.org/10.7759/cureus.83053
(2)  Shekhli S, Datta SS, S S VK. Eucalyptus Oil Poisoning in Young Adults: A Case Series Highlighting Rhabdomyolysis as a Critical
Complication. Asia Pac J Med Toxicol 2025; 14(2): 66- 74.</t>
  </si>
  <si>
    <t>Creates a fire hazard in natural ecosystems</t>
  </si>
  <si>
    <t>Is a shade tolerant plant at some stage of its life cycle</t>
  </si>
  <si>
    <t>Taxon grows best in full sun (1)(2).</t>
  </si>
  <si>
    <t>(1) https://www.environment.nsw.gov.au/sites/default/files/eucalyptus-benthamii-conservation-assessment-CRE.pdf
(2) https://www.frames.gov/catalog/61876</t>
  </si>
  <si>
    <t>Grows on infertile soils (oligotrophic, limerock, or excessively draining soils).  North &amp; Central Zones: infertile soils; South Zone: shallow limerock or Histisols.</t>
  </si>
  <si>
    <t>1. E. benthamii occurs only in wet open forest on sandy alluvial soils. The soils are shallow to moderately deep, &lt;100 cm, and are well-drained alluvial sands and gravels along stream channels, small terraces and alluvial flats. 
2. The species is confined to the fertile riverflats and alluvial banks of the Nepean River and its tributaries.</t>
  </si>
  <si>
    <t xml:space="preserve">1. Threatened Species Unit, Central Directorate, New South Wales National Parks and Wildlife Service. Threatened Species Information. Eucalyptus benthamii Maiden and Cambage. May 2000. On-line. http://www.environment.nsw.gov.au/resources/nature/TS profileEucalyptusBenthamii.pdf. Accessed: 28 June 2011. 
2. Benson, D.H. 1985. Aspects of the ecology of a rare tree species, Eucalyptus benthamii , at Bents Basin, Wallacia. Cunninghamia 1(3): 371-383. </t>
  </si>
  <si>
    <t>Climbing or smothering growth habit</t>
  </si>
  <si>
    <t>Forms dense thickets</t>
  </si>
  <si>
    <t>Aquatic</t>
  </si>
  <si>
    <t>Taxon is terrestrial.</t>
  </si>
  <si>
    <t>Grass</t>
  </si>
  <si>
    <t>Not of the Poaceae family</t>
  </si>
  <si>
    <t>Nitrogen fixing woody plant</t>
  </si>
  <si>
    <t>Geophyte</t>
  </si>
  <si>
    <t>Evidence of substantial reproductive failure in native habitat</t>
  </si>
  <si>
    <t>Taxon is listed as endangered in native range (1)(2).</t>
  </si>
  <si>
    <t>(1) https://powo.science.kew.org/taxon/urn:lsid:ipni.org:names:592726-1/general-information
(2) https://threatenedspecies.bionet.nsw.gov.au/profile?id=10284</t>
  </si>
  <si>
    <t>Produces viable seed</t>
  </si>
  <si>
    <t>"Flowering and fruiting abundance seems to vary considerably between individuals. Freshly collected seed has good viability (1)."
"Higher germination with litter removal suggests germination is influenced by litter,but higher germination with increased light availability, regardless of raking, suggests germination isalso influenced by light availability (2)."</t>
  </si>
  <si>
    <t>(1) Benson, D. H. (1985). Aspects of the ecology of a rare tree species, Eucalyptus benthamii, at Bents Basin, Wallacia. Cunninghamia, 1(3), 371-383
(2) https://www.osti.gov/pages/servlets/purl/1799592</t>
  </si>
  <si>
    <t>Hybridizes naturally</t>
  </si>
  <si>
    <t>"Hybridization with E. viminalis occurs naturally in the Camden region and readily hybridizes with eucalypts that are in the same taxonomic section of the genus (1)."
""Inter-species gene flow poses an additional threat to E. benthamii, 
particularly hybridisation with E. viminalis which occurs naturally in 
the Camden region and readily hybridises with eucalypts that are in 
the same taxonomic section of the genus (Griffin et al. 1988) (2)."</t>
  </si>
  <si>
    <t>(1) Benson, D.H. 1985. Aspects of the ecology of a rare tree species, Eucalyptus benthamii , at Bents Basin, Wallacia. Cunninghamia 1(3): 371-383.
(2) Butcher, P. A., Skinner, A. K., &amp; Gardiner, C. A. (2005). Increased inbreeding and inter-species gene flow in remnant populations of the rare Eucalyptus benthamii. Conservation Genetics, 6(2), 213-226</t>
  </si>
  <si>
    <t>Self-compatible or apomictic</t>
  </si>
  <si>
    <t>"While no direct relationship was found between population size and outcrossing rates, fragmentation and the isolation of trees appears to have resulted in higher levels of selfing and biparental inbreeding in seed collected from the Camden and Wallacia remnants (1)."</t>
  </si>
  <si>
    <t xml:space="preserve">(1) 
  Butcher, P. A., Skinner, A. K., &amp; Gardiner, C. A. (2005). Increased inbreeding and inter-species gene flow in remnant populations of the rare Eucalyptus benthamii. Conservation Genetics, 6(2), 213–226. https://doi.org/10.1007/s10592-004-7830-x
</t>
  </si>
  <si>
    <t>Requires specialist pollinators</t>
  </si>
  <si>
    <t>Reproduction by vegetative propagation</t>
  </si>
  <si>
    <t>"Old stumps, however, may resprout. One had a ring of six sucker 
stems with diameters ranging from 9 to 23 cm, all but one of which 
were killed by the 1979 fire. Suckers from old stumps have the ability 
to reach tree size. One coppice or sucker stem that had grown from 
an old stump (150 cm diameter) was 32 m high with a 54 cm 
diameter." [Suckers in response to cutting or fires. Unknown if 
natural suckering occurs in the absence of damage, or if vegetative 
fragments will establish]</t>
  </si>
  <si>
    <t xml:space="preserve">(1) Benson, D. H. (1985). Aspects of the ecology of a rare tree species, Eucalyptus benthamii, at Bents Basin, Wallacia. Cunninghamia, 1(3), 371-383
</t>
  </si>
  <si>
    <t>Minimum generative time (years)</t>
  </si>
  <si>
    <t>4 or more</t>
  </si>
  <si>
    <t>"Under natural conditions, young trees 5 m high, and probably only 
6 to 10 years old, may produce mature seed capsules."</t>
  </si>
  <si>
    <t>Propagules likely to be dispersed unintentionally (plants growing in heavily trafficked areas)</t>
  </si>
  <si>
    <t>Propagules dispersed intentionally by people</t>
  </si>
  <si>
    <t>"Eucalyptus rank among the most economically important trees globally. They exhibit traits, such as fast growth and high water use efficiency, that contribute to their candidacy as an excellent biofuel crop (1)."</t>
  </si>
  <si>
    <t xml:space="preserve">(1) https://www.osti.gov/pages/servlets/purl/1799592
</t>
  </si>
  <si>
    <t>Propagules likely to disperse as a produce contaminant</t>
  </si>
  <si>
    <t>Propagules adapted to wind dispersal</t>
  </si>
  <si>
    <t>"Seed is dispersed locally by wind and seedling recruitment follows flood or soil disturbance and requires open sites (1)."</t>
  </si>
  <si>
    <t>(1) https://www.environment.nsw.gov.au/sites/default/files/eucalyptus-benthamii-final-dtermination-CR.pdf</t>
  </si>
  <si>
    <t>Propagules water dispersed</t>
  </si>
  <si>
    <t>Propagules are dispersed by the nepean river in native range (1).
"Eucalypts should not be planted near rivers/streams. Temporarily 
flooded or eroded river/stream banks are suitable habitat for 
spontaneous establishment of seedlings. Additionally, their seeds 
can be dispersed for long distances by running water."</t>
  </si>
  <si>
    <t>(1) https://www.camdentownfarm.com.au/community-access-and-visitation/walkway-points-of-interest/camden-white-gum-protection/
(2) Rejmánek, M. &amp; Richardson, D.M. (2011). Eucalypts. Pp. 
203-209 In D. Simberloff &amp; M. Rejmánek, (eds.). 
Encyclopedia of Biological Invasions. University of 
California Press, Berkeley</t>
  </si>
  <si>
    <t>Propagules bird dispersed</t>
  </si>
  <si>
    <t>Propagules dispersed by other animals (externally)</t>
  </si>
  <si>
    <t>Propagules dispersed by other animals (internally)</t>
  </si>
  <si>
    <t>Prolific seed production</t>
  </si>
  <si>
    <t>"The long-term viability of these stands is threatened by lack of regeneration associated with poor and erratic seed production."</t>
  </si>
  <si>
    <t>(1) FAO, FLD, IPGRI. 2004. Forest genetic resources 
conservation and management. Vol. 1: Overview, concepts and some systematic approaches. International Plant Genetic Resources Institute , Rome, Italy.</t>
  </si>
  <si>
    <t>Evidence that a persistent propagule bank is formed (&gt;1 yr)</t>
  </si>
  <si>
    <t>"The low germination rates under a variety of field conditions coupled with the lack of persistence suggests establishment may be unlikely, regardless of the surrounding land matrix (1)."
Eucalypt seeds do not have dormancy and seed storage in the soil lasts less than a year (2).</t>
  </si>
  <si>
    <t>(1) https://www.osti.gov/pages/servlets/purl/1799592
(2)  Rejmánek, M. &amp; D.M. Richardson. 2011. Eucalypts (203-209). In : D. Simberloff &amp; M. Rejmánek, eds. Encyclopedia of Biological Invasions. Berkeley: University of California Press.</t>
  </si>
  <si>
    <t>Well controlled by herbicides</t>
  </si>
  <si>
    <t>Taxon is vulnerable to herbicies (1).
[Methods to control Eucalyptus globulus would likely be effective on 
other species] "Treating freshly cut stumps with triclopyr or 
glyphosate prevents resprouting. Foliar sprays are less effective due 
to the waxy leaves. However, repeated sprays to sprouts may 
eventually kill the tree (Bossard et al., 2000)."</t>
  </si>
  <si>
    <t>(1) https://www.lsuagcenter.com/~/media/system/e/5/3/e/e53e50af20419be25e714ca03e0fa9fa/pub3426managementguidelinesestablishingeucalyptus.pdf
(2) Weber, E. (2017). Invasive Plant Species of the World, 2nd Edition: A Reference Guide to Environmental Weeds. CABI Publishing, Wallingford, UK_x000D_</t>
  </si>
  <si>
    <t>Tolerates, or benefits from, mutilation or cultivation</t>
  </si>
  <si>
    <t>1.a. Responds to low-intensity fire damage by producing epicormic shoots on the branches and trunk. 
1.b. After severe fire damage trees may be weakened at the base, collapse, and regrow coppice stems which may survive for another 100 years.</t>
  </si>
  <si>
    <t xml:space="preserve"> 1.a-b. Threatened Species Unit, Central Directorate, New South Wales National Parks and Wildlife Service. Threatened Species Information. Eucalyptus benthamii Maiden and Cambage. May 2000. On-line. http://www.environment.nsw.gov.au/resources/nature/TSprofileEucalyptusBenthamii.pdf.</t>
  </si>
  <si>
    <t>Effective natural enemies present in U.S.</t>
  </si>
  <si>
    <t>Unknown</t>
  </si>
  <si>
    <t>Total Score</t>
  </si>
  <si>
    <t>Outcome</t>
  </si>
  <si>
    <t>Section</t>
  </si>
  <si>
    <t># of questions answered</t>
  </si>
  <si>
    <t>satisfy minimum?</t>
  </si>
  <si>
    <t>A</t>
  </si>
  <si>
    <t>B</t>
  </si>
  <si>
    <t>C</t>
  </si>
  <si>
    <t>total</t>
  </si>
  <si>
    <t>Do not complete unless the Outcome (cell D54) is "Evaluate Further"</t>
  </si>
  <si>
    <t xml:space="preserve">Secondary Screening </t>
  </si>
  <si>
    <t xml:space="preserve"> Taxon shade-tolerant or forms dense stands?</t>
  </si>
  <si>
    <t xml:space="preserve"> Taxon is clearly bird- or wind-dispersed?</t>
  </si>
  <si>
    <t xml:space="preserve"> Taxon's life cycle &lt;4 years?</t>
  </si>
  <si>
    <t xml:space="preserve"> Weed of cultivated land?</t>
  </si>
  <si>
    <t xml:space="preserve"> Unpalatable to grazing animals?</t>
  </si>
  <si>
    <t xml:space="preserve"> Forms dense stands/populations?</t>
  </si>
  <si>
    <t xml:space="preserve"> Taxon a tree or tree-like shrub?</t>
  </si>
  <si>
    <t xml:space="preserve"> Taxon herbaceous or a low-growing shrub?</t>
  </si>
  <si>
    <t xml:space="preserve"> Taxon a vine or liana?</t>
  </si>
  <si>
    <t>Secondary Screening result:</t>
  </si>
  <si>
    <t>Scorecard</t>
  </si>
  <si>
    <t>Lookup Table A1:</t>
  </si>
  <si>
    <t>N Score</t>
  </si>
  <si>
    <t>Y Score</t>
  </si>
  <si>
    <t>Locate value of inputs and lookup output for each question</t>
  </si>
  <si>
    <r>
      <rPr>
        <b/>
        <sz val="11"/>
        <color theme="1"/>
        <rFont val="Calibri"/>
        <family val="2"/>
        <scheme val="minor"/>
      </rPr>
      <t>A</t>
    </r>
    <r>
      <rPr>
        <sz val="11"/>
        <color theme="1"/>
        <rFont val="Calibri"/>
        <family val="2"/>
        <scheme val="minor"/>
      </rPr>
      <t xml:space="preserve"> C</t>
    </r>
  </si>
  <si>
    <r>
      <t xml:space="preserve">                                         </t>
    </r>
    <r>
      <rPr>
        <b/>
        <i/>
        <sz val="11"/>
        <color theme="1"/>
        <rFont val="Calibri"/>
        <family val="2"/>
        <scheme val="minor"/>
      </rPr>
      <t xml:space="preserve"> Yes</t>
    </r>
    <r>
      <rPr>
        <sz val="11"/>
        <color theme="1"/>
        <rFont val="Calibri"/>
        <family val="2"/>
        <scheme val="minor"/>
      </rPr>
      <t xml:space="preserve"> to questions 3.01-3.05</t>
    </r>
  </si>
  <si>
    <t>default</t>
  </si>
  <si>
    <t>Inputs</t>
  </si>
  <si>
    <t>The response to qestions 2.01 and 2.02 is 2 unless a climate analysis is done</t>
  </si>
  <si>
    <t>Results</t>
  </si>
  <si>
    <t>Refer to lookup Table A1</t>
  </si>
  <si>
    <r>
      <t xml:space="preserve">       </t>
    </r>
    <r>
      <rPr>
        <b/>
        <i/>
        <sz val="11"/>
        <color theme="1"/>
        <rFont val="Calibri"/>
        <family val="2"/>
        <scheme val="minor"/>
      </rPr>
      <t xml:space="preserve">  No</t>
    </r>
    <r>
      <rPr>
        <sz val="11"/>
        <color theme="1"/>
        <rFont val="Calibri"/>
        <family val="2"/>
        <scheme val="minor"/>
      </rPr>
      <t xml:space="preserve"> to questions 3.01-3.02</t>
    </r>
  </si>
  <si>
    <t>E</t>
  </si>
  <si>
    <t xml:space="preserve">Input </t>
  </si>
  <si>
    <t>N</t>
  </si>
  <si>
    <t>Y</t>
  </si>
  <si>
    <t>3.02-3.05</t>
  </si>
  <si>
    <r>
      <rPr>
        <b/>
        <sz val="11"/>
        <color theme="1"/>
        <rFont val="Calibri"/>
        <family val="2"/>
        <scheme val="minor"/>
      </rPr>
      <t>B</t>
    </r>
    <r>
      <rPr>
        <sz val="11"/>
        <color theme="1"/>
        <rFont val="Calibri"/>
        <family val="2"/>
        <scheme val="minor"/>
      </rPr>
      <t xml:space="preserve"> C</t>
    </r>
  </si>
  <si>
    <t>Lookup Table for 6.07</t>
  </si>
  <si>
    <t>Years</t>
  </si>
  <si>
    <t>Lookup for Secondary Screening (Vine/Liana Only)</t>
  </si>
  <si>
    <t>Test 1:</t>
  </si>
  <si>
    <t>Test 2:</t>
  </si>
  <si>
    <r>
      <rPr>
        <b/>
        <sz val="11"/>
        <color theme="1"/>
        <rFont val="Calibri"/>
        <family val="2"/>
        <scheme val="minor"/>
      </rPr>
      <t>C</t>
    </r>
    <r>
      <rPr>
        <sz val="11"/>
        <color theme="1"/>
        <rFont val="Calibri"/>
        <family val="2"/>
        <scheme val="minor"/>
      </rPr>
      <t xml:space="preserve"> E</t>
    </r>
  </si>
  <si>
    <t>Refer to lookup Table A3</t>
  </si>
  <si>
    <t>ZONES</t>
  </si>
  <si>
    <r>
      <t xml:space="preserve">Genus species </t>
    </r>
    <r>
      <rPr>
        <b/>
        <sz val="14"/>
        <rFont val="Calibri"/>
        <family val="2"/>
        <scheme val="minor"/>
      </rPr>
      <t xml:space="preserve">(common name) </t>
    </r>
  </si>
  <si>
    <t>Species suited to Florida's USDA climate zones (0-low; 1-intermediate; 2-high)
       North Zone: suited to Zones 8, 9
       Central Zone: suited to Zones 9, 10
       South Zone: suited to Zone 10</t>
  </si>
  <si>
    <t>Quality of climate match data (0-low; 1-intermediate; 2-high)</t>
  </si>
  <si>
    <t xml:space="preserve">Implemented Pacific Second Screening </t>
  </si>
  <si>
    <t>Risk Assessment Results</t>
  </si>
  <si>
    <t>section</t>
  </si>
  <si>
    <t># questions answered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</si>
</sst>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1"/>
      <color theme="1"/>
      <name val="Calibri"/>
      <family val="2"/>
      <scheme val="minor"/>
    </font>
    <font>
      <b/>
      <sz val="11"/>
      <color theme="1"/>
      <name val="Calibri"/>
      <family val="2"/>
      <scheme val="minor"/>
    </font>
    <font>
      <b/>
      <sz val="11"/>
      <color theme="1" tint="0.499984740745262"/>
      <name val="Calibri"/>
      <family val="2"/>
      <scheme val="minor"/>
    </font>
    <font>
      <sz val="8"/>
      <color theme="1"/>
      <name val="Calibri"/>
      <family val="2"/>
      <scheme val="minor"/>
    </font>
    <font>
      <sz val="7"/>
      <color theme="1"/>
      <name val="Calibri"/>
      <family val="2"/>
      <scheme val="minor"/>
    </font>
    <font>
      <b/>
      <i/>
      <sz val="11"/>
      <color theme="1"/>
      <name val="Calibri"/>
      <family val="2"/>
      <scheme val="minor"/>
    </font>
    <font>
      <b/>
      <sz val="11"/>
      <name val="Calibri"/>
      <family val="2"/>
      <scheme val="minor"/>
    </font>
    <font>
      <sz val="11"/>
      <color rgb="FFFF0000"/>
      <name val="Calibri"/>
      <family val="2"/>
      <scheme val="minor"/>
    </font>
    <font>
      <sz val="12"/>
      <name val="Calibri"/>
      <family val="2"/>
      <scheme val="minor"/>
    </font>
    <font>
      <b/>
      <i/>
      <sz val="14"/>
      <name val="Calibri"/>
      <family val="2"/>
      <scheme val="minor"/>
    </font>
    <font>
      <sz val="11"/>
      <color indexed="8"/>
      <name val="Calibri"/>
      <family val="2"/>
      <scheme val="minor"/>
    </font>
    <font>
      <sz val="9"/>
      <color indexed="8"/>
      <name val="Helvetica"/>
      <family val="2"/>
    </font>
    <font>
      <sz val="11"/>
      <name val="Calibri"/>
      <family val="2"/>
      <scheme val="minor"/>
    </font>
    <font>
      <b/>
      <sz val="11"/>
      <color indexed="8"/>
      <name val="Calibri"/>
      <family val="2"/>
      <scheme val="minor"/>
    </font>
    <font>
      <b/>
      <sz val="9"/>
      <color indexed="8"/>
      <name val="Helvetica"/>
      <family val="2"/>
    </font>
    <font>
      <b/>
      <sz val="9"/>
      <name val="Arial"/>
      <family val="2"/>
    </font>
    <font>
      <b/>
      <sz val="10"/>
      <name val="Calibri"/>
      <family val="2"/>
      <scheme val="minor"/>
    </font>
    <font>
      <sz val="9"/>
      <name val="Arial"/>
      <family val="2"/>
    </font>
    <font>
      <sz val="10"/>
      <name val="Calibri"/>
      <family val="2"/>
      <scheme val="minor"/>
    </font>
    <font>
      <b/>
      <sz val="14"/>
      <name val="Calibri"/>
      <family val="2"/>
      <scheme val="minor"/>
    </font>
    <font>
      <sz val="10"/>
      <name val="Arial"/>
      <family val="2"/>
    </font>
    <font>
      <sz val="11"/>
      <name val="Calibri"/>
      <family val="2"/>
    </font>
    <font>
      <sz val="11"/>
      <name val="Arial"/>
      <family val="2"/>
    </font>
    <font>
      <sz val="10"/>
      <name val="Calibri"/>
      <family val="2"/>
    </font>
    <font>
      <b/>
      <sz val="12"/>
      <color theme="4"/>
      <name val="Arial"/>
      <family val="2"/>
    </font>
    <font>
      <sz val="10"/>
      <color theme="1"/>
      <name val="Calibri"/>
      <family val="2"/>
    </font>
    <font>
      <b/>
      <sz val="11"/>
      <color rgb="FFFF0000"/>
      <name val="Calibri"/>
      <family val="2"/>
      <scheme val="minor"/>
    </font>
    <font>
      <sz val="11"/>
      <color rgb="FF000000"/>
      <name val="Calibri"/>
    </font>
    <font>
      <sz val="11"/>
      <color rgb="FFFF0000"/>
      <name val="Calibri"/>
    </font>
    <font>
      <sz val="11"/>
      <color theme="1"/>
      <name val="Calibri"/>
    </font>
  </fonts>
  <fills count="7">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s>
  <borders count="38">
    <border>
      <left/>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diagonal/>
    </border>
    <border>
      <left/>
      <right style="double">
        <color indexed="64"/>
      </right>
      <top/>
      <bottom/>
      <diagonal/>
    </border>
    <border>
      <left style="thin">
        <color theme="2"/>
      </left>
      <right style="thin">
        <color theme="2"/>
      </right>
      <top style="thin">
        <color theme="2"/>
      </top>
      <bottom style="thin">
        <color theme="2"/>
      </bottom>
      <diagonal/>
    </border>
    <border>
      <left/>
      <right style="thin">
        <color theme="2"/>
      </right>
      <top style="thin">
        <color theme="2"/>
      </top>
      <bottom style="thin">
        <color theme="2"/>
      </bottom>
      <diagonal/>
    </border>
    <border>
      <left style="thin">
        <color theme="2"/>
      </left>
      <right/>
      <top/>
      <bottom style="double">
        <color theme="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auto="1"/>
      </top>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indexed="64"/>
      </top>
      <bottom/>
      <diagonal/>
    </border>
  </borders>
  <cellStyleXfs count="1">
    <xf numFmtId="0" fontId="0" fillId="0" borderId="0" applyProtection="0"/>
  </cellStyleXfs>
  <cellXfs count="154">
    <xf numFmtId="0" fontId="0" fillId="0" borderId="0" xfId="0"/>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9" xfId="0" applyBorder="1"/>
    <xf numFmtId="0" fontId="0" fillId="0" borderId="20" xfId="0" applyBorder="1"/>
    <xf numFmtId="0" fontId="0" fillId="0" borderId="21" xfId="0" applyBorder="1"/>
    <xf numFmtId="0" fontId="0" fillId="0" borderId="15" xfId="0" applyBorder="1" applyAlignment="1">
      <alignment horizontal="center"/>
    </xf>
    <xf numFmtId="0" fontId="0" fillId="0" borderId="0" xfId="0" applyAlignment="1">
      <alignment horizontal="center" vertical="center"/>
    </xf>
    <xf numFmtId="0" fontId="0" fillId="0" borderId="15" xfId="0" applyBorder="1" applyAlignment="1">
      <alignment horizontal="center" vertical="center"/>
    </xf>
    <xf numFmtId="0" fontId="0" fillId="0" borderId="0" xfId="0" applyAlignment="1">
      <alignment horizontal="center"/>
    </xf>
    <xf numFmtId="0" fontId="0" fillId="0" borderId="20" xfId="0" applyBorder="1" applyAlignment="1">
      <alignment horizontal="center" vertical="center"/>
    </xf>
    <xf numFmtId="0" fontId="0" fillId="0" borderId="20" xfId="0" applyBorder="1" applyAlignment="1">
      <alignment horizontal="center"/>
    </xf>
    <xf numFmtId="0" fontId="0" fillId="0" borderId="21" xfId="0" applyBorder="1" applyAlignment="1">
      <alignment horizontal="center"/>
    </xf>
    <xf numFmtId="0" fontId="1" fillId="0" borderId="15" xfId="0" applyFont="1" applyBorder="1" applyAlignment="1">
      <alignment horizontal="center"/>
    </xf>
    <xf numFmtId="0" fontId="1" fillId="0" borderId="0" xfId="0" applyFont="1" applyAlignment="1" applyProtection="1">
      <alignment horizontal="center" vertical="top"/>
      <protection locked="0"/>
    </xf>
    <xf numFmtId="0" fontId="1" fillId="0" borderId="0" xfId="0" applyFont="1" applyAlignment="1" applyProtection="1">
      <alignment horizontal="center" vertical="top" wrapText="1"/>
    </xf>
    <xf numFmtId="0" fontId="1" fillId="0" borderId="4" xfId="0" applyFont="1" applyBorder="1" applyAlignment="1" applyProtection="1">
      <alignment wrapText="1"/>
    </xf>
    <xf numFmtId="0" fontId="0" fillId="0" borderId="23" xfId="0" applyBorder="1" applyAlignment="1" applyProtection="1">
      <alignment horizontal="center" vertical="center" wrapText="1"/>
    </xf>
    <xf numFmtId="0" fontId="0" fillId="0" borderId="6" xfId="0" applyBorder="1" applyAlignment="1" applyProtection="1">
      <alignment horizontal="center" vertical="center" wrapText="1"/>
    </xf>
    <xf numFmtId="0" fontId="1" fillId="0" borderId="2" xfId="0" applyFont="1" applyBorder="1" applyAlignment="1" applyProtection="1">
      <alignment wrapText="1"/>
    </xf>
    <xf numFmtId="0" fontId="1" fillId="0" borderId="3" xfId="0" applyFont="1" applyBorder="1" applyAlignment="1" applyProtection="1">
      <alignment wrapText="1"/>
    </xf>
    <xf numFmtId="0" fontId="0" fillId="0" borderId="0" xfId="0" applyAlignment="1" applyProtection="1">
      <alignment horizontal="center" vertical="center" wrapText="1"/>
    </xf>
    <xf numFmtId="0" fontId="1" fillId="0" borderId="5" xfId="0" applyFont="1" applyBorder="1" applyAlignment="1" applyProtection="1">
      <alignment wrapText="1"/>
    </xf>
    <xf numFmtId="0" fontId="0" fillId="0" borderId="1" xfId="0" applyBorder="1" applyAlignment="1" applyProtection="1">
      <alignment horizontal="center" vertical="center" wrapText="1"/>
    </xf>
    <xf numFmtId="0" fontId="1" fillId="0" borderId="0" xfId="0" applyFont="1" applyAlignment="1" applyProtection="1">
      <alignment wrapText="1"/>
    </xf>
    <xf numFmtId="0" fontId="1" fillId="0" borderId="22" xfId="0" applyFont="1" applyBorder="1" applyAlignment="1" applyProtection="1">
      <alignment wrapText="1"/>
    </xf>
    <xf numFmtId="0" fontId="6" fillId="0" borderId="22" xfId="0" applyFont="1" applyBorder="1" applyAlignment="1" applyProtection="1">
      <alignment wrapText="1"/>
    </xf>
    <xf numFmtId="2" fontId="10" fillId="0" borderId="29" xfId="0" applyNumberFormat="1" applyFont="1" applyBorder="1" applyAlignment="1">
      <alignment horizontal="left" vertical="top" wrapText="1"/>
    </xf>
    <xf numFmtId="2" fontId="11" fillId="5" borderId="29" xfId="0" applyNumberFormat="1" applyFont="1" applyFill="1" applyBorder="1" applyAlignment="1">
      <alignment horizontal="left" vertical="top" wrapText="1"/>
    </xf>
    <xf numFmtId="0" fontId="13" fillId="5" borderId="29" xfId="0" applyFont="1" applyFill="1" applyBorder="1" applyAlignment="1">
      <alignment vertical="top" wrapText="1"/>
    </xf>
    <xf numFmtId="0" fontId="12" fillId="5" borderId="29" xfId="0" applyFont="1" applyFill="1" applyBorder="1" applyAlignment="1">
      <alignment horizontal="left" vertical="top" wrapText="1"/>
    </xf>
    <xf numFmtId="0" fontId="6" fillId="5" borderId="29" xfId="0" applyFont="1" applyFill="1" applyBorder="1" applyAlignment="1">
      <alignment vertical="top" wrapText="1"/>
    </xf>
    <xf numFmtId="2" fontId="10" fillId="0" borderId="0" xfId="0" applyNumberFormat="1" applyFont="1" applyAlignment="1">
      <alignment horizontal="right" vertical="top" wrapText="1"/>
    </xf>
    <xf numFmtId="0" fontId="10" fillId="0" borderId="0" xfId="0" applyFont="1" applyAlignment="1">
      <alignment vertical="top" wrapText="1"/>
    </xf>
    <xf numFmtId="0" fontId="12" fillId="0" borderId="0" xfId="0" applyFont="1"/>
    <xf numFmtId="0" fontId="14" fillId="0" borderId="2" xfId="0" applyFont="1" applyBorder="1" applyAlignment="1">
      <alignment vertical="top" wrapText="1"/>
    </xf>
    <xf numFmtId="0" fontId="15" fillId="0" borderId="3" xfId="0" applyFont="1" applyBorder="1" applyAlignment="1">
      <alignment wrapText="1"/>
    </xf>
    <xf numFmtId="0" fontId="16" fillId="0" borderId="4" xfId="0" applyFont="1" applyBorder="1" applyAlignment="1">
      <alignment wrapText="1"/>
    </xf>
    <xf numFmtId="0" fontId="17" fillId="0" borderId="22" xfId="0" applyFont="1" applyBorder="1"/>
    <xf numFmtId="0" fontId="17" fillId="0" borderId="0" xfId="0" applyFont="1"/>
    <xf numFmtId="0" fontId="18" fillId="0" borderId="23" xfId="0" applyFont="1" applyBorder="1"/>
    <xf numFmtId="0" fontId="17" fillId="0" borderId="5" xfId="0" applyFont="1" applyBorder="1"/>
    <xf numFmtId="0" fontId="17" fillId="0" borderId="1" xfId="0" applyFont="1" applyBorder="1"/>
    <xf numFmtId="0" fontId="18" fillId="0" borderId="6" xfId="0" applyFont="1" applyBorder="1"/>
    <xf numFmtId="0" fontId="6" fillId="4" borderId="29" xfId="0" applyFont="1" applyFill="1" applyBorder="1" applyAlignment="1">
      <alignment horizontal="center" wrapText="1"/>
    </xf>
    <xf numFmtId="0" fontId="6" fillId="4" borderId="29" xfId="0" applyFont="1" applyFill="1" applyBorder="1" applyAlignment="1">
      <alignment horizontal="center" vertical="top"/>
    </xf>
    <xf numFmtId="0" fontId="6" fillId="4" borderId="29" xfId="0" applyFont="1" applyFill="1" applyBorder="1" applyAlignment="1">
      <alignment horizontal="center" vertical="top" wrapText="1"/>
    </xf>
    <xf numFmtId="0" fontId="20" fillId="0" borderId="29" xfId="0" applyFont="1" applyBorder="1" applyAlignment="1">
      <alignment vertical="center" wrapText="1"/>
    </xf>
    <xf numFmtId="0" fontId="0" fillId="0" borderId="29" xfId="0" applyBorder="1" applyAlignment="1">
      <alignment vertical="center" wrapText="1"/>
    </xf>
    <xf numFmtId="0" fontId="21" fillId="0" borderId="29" xfId="0" applyFont="1" applyBorder="1" applyAlignment="1">
      <alignment vertical="center" wrapText="1"/>
    </xf>
    <xf numFmtId="0" fontId="12" fillId="0" borderId="29" xfId="0" applyFont="1" applyBorder="1" applyAlignment="1">
      <alignment vertical="center" wrapText="1"/>
    </xf>
    <xf numFmtId="0" fontId="22" fillId="0" borderId="29" xfId="0" applyFont="1" applyBorder="1" applyAlignment="1">
      <alignment vertical="center" wrapText="1"/>
    </xf>
    <xf numFmtId="0" fontId="23" fillId="0" borderId="29" xfId="0" applyFont="1" applyBorder="1" applyAlignment="1">
      <alignment vertical="center" wrapText="1"/>
    </xf>
    <xf numFmtId="0" fontId="0" fillId="0" borderId="0" xfId="0" applyAlignment="1" applyProtection="1">
      <alignment wrapText="1"/>
      <protection locked="0"/>
    </xf>
    <xf numFmtId="0" fontId="0" fillId="3" borderId="24" xfId="0" applyFill="1" applyBorder="1" applyAlignment="1" applyProtection="1">
      <alignment wrapText="1"/>
      <protection locked="0"/>
    </xf>
    <xf numFmtId="0" fontId="0" fillId="0" borderId="0" xfId="0" applyProtection="1">
      <protection locked="0"/>
    </xf>
    <xf numFmtId="0" fontId="0" fillId="0" borderId="0" xfId="0" applyAlignment="1" applyProtection="1">
      <alignment wrapText="1"/>
    </xf>
    <xf numFmtId="0" fontId="0" fillId="3" borderId="0" xfId="0" applyFill="1" applyAlignment="1" applyProtection="1">
      <alignment wrapText="1"/>
    </xf>
    <xf numFmtId="0" fontId="0" fillId="0" borderId="4" xfId="0" applyBorder="1" applyAlignment="1" applyProtection="1">
      <alignment horizontal="center" vertical="center" wrapText="1"/>
    </xf>
    <xf numFmtId="0" fontId="0" fillId="3" borderId="25" xfId="0" applyFill="1" applyBorder="1" applyAlignment="1" applyProtection="1">
      <alignment wrapText="1"/>
      <protection locked="0"/>
    </xf>
    <xf numFmtId="0" fontId="0" fillId="0" borderId="26" xfId="0" applyBorder="1" applyAlignment="1" applyProtection="1">
      <alignment wrapText="1"/>
      <protection locked="0"/>
    </xf>
    <xf numFmtId="0" fontId="0" fillId="0" borderId="0" xfId="0" applyAlignment="1" applyProtection="1">
      <alignment horizontal="left" vertical="top" wrapText="1"/>
      <protection locked="0"/>
    </xf>
    <xf numFmtId="0" fontId="0" fillId="3" borderId="24" xfId="0" applyFill="1" applyBorder="1" applyProtection="1">
      <protection locked="0"/>
    </xf>
    <xf numFmtId="2" fontId="10" fillId="0" borderId="0" xfId="0" applyNumberFormat="1" applyFont="1" applyAlignment="1" applyProtection="1">
      <alignment horizontal="right" vertical="top" wrapText="1"/>
    </xf>
    <xf numFmtId="0" fontId="10" fillId="0" borderId="0" xfId="0" applyFont="1" applyAlignment="1" applyProtection="1">
      <alignment vertical="top" wrapText="1"/>
    </xf>
    <xf numFmtId="0" fontId="12" fillId="0" borderId="0" xfId="0" applyFont="1" applyAlignment="1" applyProtection="1">
      <alignment vertical="top" wrapText="1"/>
    </xf>
    <xf numFmtId="0" fontId="1" fillId="0" borderId="2" xfId="0" applyFont="1" applyBorder="1" applyAlignment="1" applyProtection="1">
      <alignment horizontal="left" vertical="center" wrapText="1"/>
    </xf>
    <xf numFmtId="0" fontId="1" fillId="0" borderId="5" xfId="0" applyFont="1" applyBorder="1" applyAlignment="1" applyProtection="1">
      <alignment horizontal="left" vertical="center" wrapText="1"/>
    </xf>
    <xf numFmtId="0" fontId="0" fillId="0" borderId="14" xfId="0" applyBorder="1" applyProtection="1"/>
    <xf numFmtId="0" fontId="1" fillId="3" borderId="30" xfId="0" applyFont="1" applyFill="1" applyBorder="1" applyAlignment="1" applyProtection="1">
      <alignment horizontal="right"/>
    </xf>
    <xf numFmtId="0" fontId="6" fillId="4" borderId="29" xfId="0" applyFont="1" applyFill="1" applyBorder="1" applyAlignment="1" applyProtection="1">
      <alignment horizontal="center" vertical="center" wrapText="1"/>
    </xf>
    <xf numFmtId="2" fontId="10" fillId="0" borderId="29" xfId="0" applyNumberFormat="1" applyFont="1" applyBorder="1" applyAlignment="1" applyProtection="1">
      <alignment horizontal="left" vertical="top" wrapText="1"/>
    </xf>
    <xf numFmtId="0" fontId="10" fillId="0" borderId="10" xfId="0" applyFont="1" applyBorder="1" applyAlignment="1" applyProtection="1">
      <alignment vertical="top" wrapText="1"/>
    </xf>
    <xf numFmtId="0" fontId="11" fillId="0" borderId="29" xfId="0" applyFont="1" applyBorder="1" applyAlignment="1" applyProtection="1">
      <alignment horizontal="center" vertical="top" wrapText="1"/>
    </xf>
    <xf numFmtId="0" fontId="11" fillId="0" borderId="0" xfId="0" applyFont="1" applyAlignment="1" applyProtection="1">
      <alignment vertical="center" wrapText="1"/>
    </xf>
    <xf numFmtId="0" fontId="11" fillId="0" borderId="0" xfId="0" applyFont="1" applyAlignment="1" applyProtection="1">
      <alignment vertical="top" wrapText="1"/>
    </xf>
    <xf numFmtId="0" fontId="0" fillId="0" borderId="29" xfId="0" applyBorder="1" applyAlignment="1" applyProtection="1">
      <alignment horizontal="center" vertical="top" wrapText="1"/>
    </xf>
    <xf numFmtId="0" fontId="12" fillId="0" borderId="10" xfId="0" applyFont="1" applyBorder="1" applyAlignment="1" applyProtection="1">
      <alignment vertical="top" wrapText="1"/>
    </xf>
    <xf numFmtId="16" fontId="11" fillId="0" borderId="29" xfId="0" applyNumberFormat="1" applyFont="1" applyBorder="1" applyAlignment="1" applyProtection="1">
      <alignment horizontal="center" vertical="top" wrapText="1"/>
    </xf>
    <xf numFmtId="0" fontId="0" fillId="0" borderId="29" xfId="0" applyBorder="1" applyAlignment="1" applyProtection="1">
      <alignment horizontal="center"/>
    </xf>
    <xf numFmtId="0" fontId="0" fillId="3" borderId="29" xfId="0" applyFill="1" applyBorder="1" applyAlignment="1" applyProtection="1">
      <alignment horizontal="center"/>
    </xf>
    <xf numFmtId="16" fontId="0" fillId="0" borderId="0" xfId="0" applyNumberFormat="1" applyAlignment="1" applyProtection="1">
      <alignment wrapText="1"/>
      <protection locked="0"/>
    </xf>
    <xf numFmtId="0" fontId="7" fillId="0" borderId="0" xfId="0" applyFont="1" applyAlignment="1" applyProtection="1">
      <alignment wrapText="1"/>
      <protection locked="0"/>
    </xf>
    <xf numFmtId="0" fontId="10" fillId="0" borderId="0" xfId="0" applyFont="1" applyAlignment="1" applyProtection="1">
      <alignment vertical="top" wrapText="1"/>
      <protection locked="0"/>
    </xf>
    <xf numFmtId="2" fontId="10" fillId="0" borderId="0" xfId="0" applyNumberFormat="1" applyFont="1" applyAlignment="1" applyProtection="1">
      <alignment horizontal="right" vertical="top" wrapText="1"/>
      <protection locked="0"/>
    </xf>
    <xf numFmtId="0" fontId="2" fillId="3" borderId="24" xfId="0" applyFont="1" applyFill="1" applyBorder="1" applyAlignment="1" applyProtection="1">
      <alignment horizontal="center" vertical="top" wrapText="1"/>
    </xf>
    <xf numFmtId="0" fontId="0" fillId="0" borderId="15" xfId="0" applyBorder="1" applyAlignment="1" applyProtection="1">
      <alignment horizontal="center"/>
    </xf>
    <xf numFmtId="0" fontId="0" fillId="0" borderId="21" xfId="0" applyBorder="1" applyAlignment="1" applyProtection="1">
      <alignment horizontal="center"/>
    </xf>
    <xf numFmtId="0" fontId="0" fillId="0" borderId="19" xfId="0" applyBorder="1" applyProtection="1"/>
    <xf numFmtId="0" fontId="0" fillId="0" borderId="0" xfId="0" applyAlignment="1" applyProtection="1">
      <alignment horizontal="center"/>
      <protection locked="0"/>
    </xf>
    <xf numFmtId="0" fontId="0" fillId="0" borderId="20" xfId="0" applyBorder="1" applyAlignment="1" applyProtection="1">
      <alignment horizontal="center"/>
      <protection locked="0"/>
    </xf>
    <xf numFmtId="0" fontId="0" fillId="0" borderId="0" xfId="0" applyAlignment="1" applyProtection="1">
      <alignment horizontal="center" vertical="center"/>
      <protection locked="0"/>
    </xf>
    <xf numFmtId="0" fontId="0" fillId="0" borderId="37" xfId="0" applyBorder="1" applyAlignment="1">
      <alignment horizontal="center"/>
    </xf>
    <xf numFmtId="0" fontId="0" fillId="0" borderId="19" xfId="0" applyBorder="1" applyAlignment="1">
      <alignment horizontal="center"/>
    </xf>
    <xf numFmtId="0" fontId="0" fillId="0" borderId="15" xfId="0" applyBorder="1" applyAlignment="1" applyProtection="1">
      <alignment horizontal="center" vertical="center"/>
    </xf>
    <xf numFmtId="0" fontId="24" fillId="5" borderId="28" xfId="0" applyFont="1" applyFill="1" applyBorder="1" applyAlignment="1" applyProtection="1">
      <alignment horizontal="left" vertical="center"/>
      <protection locked="0"/>
    </xf>
    <xf numFmtId="0" fontId="20" fillId="0" borderId="0" xfId="0" applyFont="1" applyAlignment="1" applyProtection="1">
      <alignment wrapText="1"/>
      <protection locked="0"/>
    </xf>
    <xf numFmtId="0" fontId="25" fillId="6" borderId="0" xfId="0" applyFont="1" applyFill="1" applyAlignment="1" applyProtection="1">
      <alignment wrapText="1"/>
      <protection locked="0"/>
    </xf>
    <xf numFmtId="0" fontId="26" fillId="0" borderId="0" xfId="0" applyFont="1" applyAlignment="1" applyProtection="1">
      <alignment horizontal="center" vertical="top" wrapText="1"/>
      <protection locked="0"/>
    </xf>
    <xf numFmtId="0" fontId="29" fillId="0" borderId="0" xfId="0" applyFont="1" applyAlignment="1" applyProtection="1">
      <alignment wrapText="1"/>
      <protection locked="0"/>
    </xf>
    <xf numFmtId="0" fontId="0" fillId="3" borderId="32" xfId="0" applyFill="1" applyBorder="1" applyAlignment="1" applyProtection="1">
      <alignment horizontal="center"/>
    </xf>
    <xf numFmtId="0" fontId="0" fillId="3" borderId="31" xfId="0" applyFill="1" applyBorder="1" applyAlignment="1" applyProtection="1">
      <alignment horizontal="center"/>
    </xf>
    <xf numFmtId="0" fontId="0" fillId="0" borderId="0" xfId="0" applyAlignment="1" applyProtection="1">
      <alignment horizontal="center"/>
      <protection locked="0"/>
    </xf>
    <xf numFmtId="0" fontId="0" fillId="0" borderId="15" xfId="0" applyBorder="1" applyAlignment="1" applyProtection="1">
      <alignment horizontal="center"/>
      <protection locked="0"/>
    </xf>
    <xf numFmtId="0" fontId="1" fillId="0" borderId="20" xfId="0" applyFont="1" applyBorder="1" applyAlignment="1" applyProtection="1">
      <alignment horizontal="center" wrapText="1"/>
      <protection locked="0"/>
    </xf>
    <xf numFmtId="0" fontId="1" fillId="2" borderId="30" xfId="0" applyFont="1" applyFill="1" applyBorder="1" applyAlignment="1" applyProtection="1">
      <alignment horizontal="center" wrapText="1"/>
    </xf>
    <xf numFmtId="0" fontId="1" fillId="2" borderId="32" xfId="0" applyFont="1" applyFill="1" applyBorder="1" applyAlignment="1" applyProtection="1">
      <alignment horizontal="center" wrapText="1"/>
    </xf>
    <xf numFmtId="0" fontId="1" fillId="2" borderId="31" xfId="0" applyFont="1" applyFill="1" applyBorder="1" applyAlignment="1" applyProtection="1">
      <alignment horizontal="center" wrapText="1"/>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0" xfId="0" applyAlignment="1" applyProtection="1">
      <alignment horizontal="center" wrapText="1"/>
      <protection locked="0"/>
    </xf>
    <xf numFmtId="0" fontId="0" fillId="0" borderId="15" xfId="0" applyBorder="1" applyAlignment="1" applyProtection="1">
      <alignment horizontal="center" wrapText="1"/>
      <protection locked="0"/>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4" xfId="0" applyBorder="1" applyAlignment="1">
      <alignment vertical="top"/>
    </xf>
    <xf numFmtId="0" fontId="0" fillId="0" borderId="19" xfId="0" applyBorder="1" applyAlignment="1">
      <alignment vertical="top"/>
    </xf>
    <xf numFmtId="0" fontId="0" fillId="0" borderId="15"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4" fillId="2" borderId="7"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8" xfId="0" applyFill="1" applyBorder="1" applyAlignment="1">
      <alignment horizontal="center" vertical="center" wrapText="1"/>
    </xf>
    <xf numFmtId="0" fontId="0" fillId="2" borderId="17" xfId="0" applyFill="1" applyBorder="1" applyAlignment="1">
      <alignment horizontal="center" vertical="center" wrapText="1"/>
    </xf>
    <xf numFmtId="0" fontId="3" fillId="2" borderId="10" xfId="0" applyFont="1" applyFill="1" applyBorder="1" applyAlignment="1">
      <alignment horizontal="center"/>
    </xf>
    <xf numFmtId="0" fontId="3" fillId="2" borderId="18" xfId="0" applyFont="1" applyFill="1" applyBorder="1" applyAlignment="1">
      <alignment horizontal="center"/>
    </xf>
    <xf numFmtId="0" fontId="0" fillId="0" borderId="14" xfId="0" applyBorder="1" applyAlignment="1">
      <alignment horizontal="left" vertical="top"/>
    </xf>
    <xf numFmtId="0" fontId="0" fillId="0" borderId="0" xfId="0" applyAlignment="1">
      <alignment horizontal="left" vertical="top"/>
    </xf>
    <xf numFmtId="0" fontId="0" fillId="0" borderId="34"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9" fillId="4" borderId="10" xfId="0" applyFont="1" applyFill="1" applyBorder="1" applyAlignment="1" applyProtection="1">
      <alignment horizontal="center" vertical="center" wrapText="1"/>
    </xf>
    <xf numFmtId="0" fontId="9" fillId="4" borderId="28" xfId="0" applyFont="1" applyFill="1" applyBorder="1" applyAlignment="1" applyProtection="1">
      <alignment horizontal="center" vertical="center" wrapText="1"/>
    </xf>
    <xf numFmtId="0" fontId="6" fillId="5" borderId="29" xfId="0" applyFont="1" applyFill="1" applyBorder="1" applyAlignment="1">
      <alignment horizontal="center" vertical="top" wrapText="1"/>
    </xf>
    <xf numFmtId="0" fontId="8" fillId="0" borderId="10" xfId="0" applyFont="1" applyBorder="1" applyAlignment="1" applyProtection="1">
      <alignment horizontal="left"/>
    </xf>
    <xf numFmtId="0" fontId="8" fillId="0" borderId="27" xfId="0" applyFont="1" applyBorder="1" applyAlignment="1" applyProtection="1">
      <alignment horizontal="left"/>
    </xf>
    <xf numFmtId="0" fontId="0" fillId="0" borderId="14" xfId="0" applyBorder="1" applyAlignment="1"/>
    <xf numFmtId="0" fontId="0" fillId="0" borderId="0" xfId="0" applyAlignment="1"/>
    <xf numFmtId="0" fontId="0" fillId="0" borderId="15" xfId="0" applyBorder="1" applyAlignment="1"/>
    <xf numFmtId="0" fontId="0" fillId="0" borderId="33" xfId="0" applyBorder="1" applyAlignment="1"/>
    <xf numFmtId="0" fontId="0" fillId="0" borderId="16" xfId="0" applyBorder="1" applyAlignment="1"/>
    <xf numFmtId="0" fontId="0" fillId="0" borderId="20" xfId="0" applyBorder="1" applyAlignment="1"/>
    <xf numFmtId="0" fontId="0" fillId="0" borderId="21" xfId="0" applyBorder="1" applyAlignment="1"/>
  </cellXfs>
  <cellStyles count="1">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266700</xdr:colOff>
      <xdr:row>0</xdr:row>
      <xdr:rowOff>142876</xdr:rowOff>
    </xdr:from>
    <xdr:to>
      <xdr:col>2</xdr:col>
      <xdr:colOff>19050</xdr:colOff>
      <xdr:row>0</xdr:row>
      <xdr:rowOff>1130127</xdr:rowOff>
    </xdr:to>
    <xdr:pic>
      <xdr:nvPicPr>
        <xdr:cNvPr id="3" name="Picture 2" descr="Screen Shot 2015-03-11 at 10.50.32 AM.png">
          <a:extLst>
            <a:ext uri="{FF2B5EF4-FFF2-40B4-BE49-F238E27FC236}">
              <a16:creationId xmlns:a16="http://schemas.microsoft.com/office/drawing/2014/main" id="{625CA487-A7E6-4CD2-8D94-2F6184FF09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0" y="142876"/>
          <a:ext cx="4048125" cy="98725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230ED-15D9-4079-BE3B-A424EDD1BAFC}">
  <dimension ref="A1:H86"/>
  <sheetViews>
    <sheetView tabSelected="1" zoomScale="125" zoomScaleNormal="125" workbookViewId="0">
      <pane xSplit="1" topLeftCell="B49" activePane="topRight" state="frozen"/>
      <selection pane="topRight" activeCell="F52" sqref="F52"/>
    </sheetView>
  </sheetViews>
  <sheetFormatPr defaultColWidth="9.140625" defaultRowHeight="15"/>
  <cols>
    <col min="1" max="1" width="9" style="58" customWidth="1"/>
    <col min="2" max="2" width="45.42578125" style="58" customWidth="1"/>
    <col min="3" max="3" width="12.42578125" style="58" customWidth="1"/>
    <col min="4" max="4" width="9.42578125" style="58" bestFit="1" customWidth="1"/>
    <col min="5" max="5" width="12.28515625" style="65" hidden="1" customWidth="1"/>
    <col min="6" max="6" width="61.42578125" style="56" customWidth="1"/>
    <col min="7" max="7" width="43.28515625" style="58" customWidth="1"/>
    <col min="8" max="8" width="27.140625" style="85" customWidth="1"/>
    <col min="9" max="16384" width="9.140625" style="58"/>
  </cols>
  <sheetData>
    <row r="1" spans="1:8" ht="30" customHeight="1">
      <c r="A1" s="27" t="s">
        <v>0</v>
      </c>
      <c r="B1" s="85" t="s">
        <v>1</v>
      </c>
      <c r="C1" s="56"/>
      <c r="D1" s="56"/>
      <c r="E1" s="57"/>
      <c r="F1" s="102" t="s">
        <v>2</v>
      </c>
      <c r="G1" s="56"/>
    </row>
    <row r="2" spans="1:8" s="17" customFormat="1" ht="30.75" customHeight="1">
      <c r="A2" s="18" t="s">
        <v>3</v>
      </c>
      <c r="B2" s="18" t="s">
        <v>4</v>
      </c>
      <c r="C2" s="18" t="s">
        <v>5</v>
      </c>
      <c r="D2" s="18" t="s">
        <v>6</v>
      </c>
      <c r="E2" s="88" t="s">
        <v>7</v>
      </c>
      <c r="F2" s="18" t="s">
        <v>8</v>
      </c>
      <c r="G2" s="18" t="s">
        <v>9</v>
      </c>
      <c r="H2" s="101"/>
    </row>
    <row r="3" spans="1:8">
      <c r="A3" s="66">
        <v>1.01</v>
      </c>
      <c r="B3" s="67" t="s">
        <v>10</v>
      </c>
      <c r="C3" s="56" t="s">
        <v>11</v>
      </c>
      <c r="D3" s="59">
        <f>IF(C3="Y",-3,IF(C3="N",0," "))</f>
        <v>0</v>
      </c>
      <c r="E3" s="57"/>
      <c r="F3" s="99"/>
      <c r="G3" s="64"/>
    </row>
    <row r="4" spans="1:8">
      <c r="A4" s="66">
        <v>1.02</v>
      </c>
      <c r="B4" s="67" t="s">
        <v>12</v>
      </c>
      <c r="C4" s="56"/>
      <c r="D4" s="59" t="str">
        <f>IF(C4="n",VLOOKUP(LUT!C5,LUT!C4:E52,2),IF(C4="y",VLOOKUP(LUT!C5,LUT!C4:E52,3)," "))</f>
        <v xml:space="preserve"> </v>
      </c>
      <c r="E4" s="57"/>
      <c r="F4" s="64"/>
      <c r="G4" s="64"/>
    </row>
    <row r="5" spans="1:8">
      <c r="A5" s="66">
        <v>1.03</v>
      </c>
      <c r="B5" s="67" t="s">
        <v>13</v>
      </c>
      <c r="C5" s="56"/>
      <c r="D5" s="59" t="str">
        <f>IF(C5="Y",1,IF(C5="N",-1," "))</f>
        <v xml:space="preserve"> </v>
      </c>
      <c r="E5" s="57"/>
      <c r="F5" s="64"/>
      <c r="G5" s="64"/>
    </row>
    <row r="6" spans="1:8" ht="409.6">
      <c r="A6" s="66">
        <v>2.0099999999999998</v>
      </c>
      <c r="B6" s="67" t="s">
        <v>14</v>
      </c>
      <c r="C6" s="56">
        <v>2</v>
      </c>
      <c r="D6" s="60"/>
      <c r="E6" s="57"/>
      <c r="F6" s="99" t="s">
        <v>15</v>
      </c>
      <c r="G6" s="64" t="s">
        <v>16</v>
      </c>
    </row>
    <row r="7" spans="1:8" ht="30.75">
      <c r="A7" s="66">
        <v>2.02</v>
      </c>
      <c r="B7" s="67" t="s">
        <v>17</v>
      </c>
      <c r="C7" s="56" t="s">
        <v>18</v>
      </c>
      <c r="D7" s="60"/>
      <c r="E7" s="57"/>
      <c r="F7" s="99" t="s">
        <v>19</v>
      </c>
      <c r="G7" s="64"/>
    </row>
    <row r="8" spans="1:8" ht="60">
      <c r="A8" s="66">
        <v>2.0299999999999998</v>
      </c>
      <c r="B8" s="67" t="s">
        <v>20</v>
      </c>
      <c r="C8" s="56" t="s">
        <v>11</v>
      </c>
      <c r="D8" s="59">
        <f>IF(C8="y",1,IF(C8="n",0," "))</f>
        <v>0</v>
      </c>
      <c r="E8" s="57"/>
      <c r="F8" s="99" t="s">
        <v>21</v>
      </c>
      <c r="G8" s="99" t="s">
        <v>22</v>
      </c>
    </row>
    <row r="9" spans="1:8" ht="121.5" customHeight="1">
      <c r="A9" s="66">
        <v>2.04</v>
      </c>
      <c r="B9" s="67" t="s">
        <v>23</v>
      </c>
      <c r="C9" s="56" t="s">
        <v>24</v>
      </c>
      <c r="D9" s="59">
        <f>IF(C9="y",1,IF(C9="n",0," "))</f>
        <v>1</v>
      </c>
      <c r="E9" s="57"/>
      <c r="F9" s="99" t="s">
        <v>25</v>
      </c>
      <c r="G9" s="99" t="s">
        <v>26</v>
      </c>
    </row>
    <row r="10" spans="1:8" ht="229.5">
      <c r="A10" s="66">
        <v>2.0499999999999998</v>
      </c>
      <c r="B10" s="67" t="s">
        <v>27</v>
      </c>
      <c r="C10" s="56" t="s">
        <v>24</v>
      </c>
      <c r="D10" s="60"/>
      <c r="E10" s="57"/>
      <c r="F10" s="56" t="s">
        <v>28</v>
      </c>
      <c r="G10" s="56" t="s">
        <v>29</v>
      </c>
    </row>
    <row r="11" spans="1:8" ht="137.25">
      <c r="A11" s="66">
        <v>3.01</v>
      </c>
      <c r="B11" s="67" t="s">
        <v>30</v>
      </c>
      <c r="C11" s="56" t="s">
        <v>11</v>
      </c>
      <c r="D11" s="59">
        <f>IF(C11="n",LOOKUP($C$10,LUT!$I$13:$L$13,LUT!$I$14:$L$14),IF(AND(C11="y",AND($C$6=1,$C$7=1)),2,IF(AND(C11="y",AND($C$6=1,$C$7=2)),1,IF(AND(C11="y",AND($C$6=1,$C$7=3)),1,IF(AND(C11="y",AND($C$6=2,$C$7=1)),2,IF(AND(C11="y",AND($C$6=2,$C$7=2)),2,IF(AND(C11="y",AND($C$6=2,$C$7=3)),1,IF(AND(C11="y",AND($C$6=3,$C$7=1)),2,IF(AND(C11="y",AND($C$6=3,$C$7=2)),2,IF(AND(C11="y",AND($C$6=3,$C$7=3)),2,""))))))))))</f>
        <v>-2</v>
      </c>
      <c r="E11" s="57"/>
      <c r="F11" s="56" t="s">
        <v>31</v>
      </c>
      <c r="G11" s="56" t="s">
        <v>32</v>
      </c>
    </row>
    <row r="12" spans="1:8">
      <c r="A12" s="66">
        <v>3.02</v>
      </c>
      <c r="B12" s="67" t="s">
        <v>33</v>
      </c>
      <c r="C12" s="56" t="s">
        <v>11</v>
      </c>
      <c r="D12" s="59">
        <f>IF(C12="n",LOOKUP($C$10,LUT!$I$13:$L$13,LUT!$I$15:$L$15),IF(AND(C12="y",AND($C$6=1,$C$7=1)),2,IF(AND(C12="y",AND($C$6=1,$C$7=2)),1,IF(AND(C12="y",AND($C$6=1,$C$7=3)),1,IF(AND(C12="y",AND($C$6=2,$C$7=1)),2,IF(AND(C12="y",AND($C$6=2,$C$7=2)),2,IF(AND(C12="y",AND($C$6=2,$C$7=3)),1,IF(AND(C12="y",AND($C$6=3,$C$7=1)),2,IF(AND(C12="y",AND($C$6=3,$C$7=2)),2,IF(AND(C12="y",AND($C$6=3,$C$7=3)),2,""))))))))))</f>
        <v>0</v>
      </c>
      <c r="E12" s="57"/>
      <c r="F12" s="100" t="s">
        <v>34</v>
      </c>
      <c r="G12" s="56"/>
    </row>
    <row r="13" spans="1:8">
      <c r="A13" s="66">
        <v>3.03</v>
      </c>
      <c r="B13" s="67" t="s">
        <v>35</v>
      </c>
      <c r="C13" s="56" t="s">
        <v>11</v>
      </c>
      <c r="D13" s="59">
        <f>IF(C13="n",LOOKUP($C$10,LUT!$I$13:$L$13,LUT!$I$15:$L$15),IF(AND(C13="y",AND($C$6=1,$C$7=1)),4,IF(AND(C13="y",AND($C$6=1,$C$7=2)),2,IF(AND(C13="y",AND($C$6=1,$C$7=3)),1,IF(AND(C13="y",AND($C$6=2,$C$7=1)),4,IF(AND(C13="y",AND($C$6=2,$C$7=2)),3,IF(AND(C13="y",AND($C$6=2,$C$7=3)),2,IF(AND(C13="y",AND($C$6=3,$C$7=1)),4,IF(AND(C13="y",AND($C$6=3,$C$7=2)),4,IF(AND(C13="y",AND($C$6=3,$C$7=3)),4,""))))))))))</f>
        <v>0</v>
      </c>
      <c r="E13" s="57"/>
      <c r="F13" s="100" t="s">
        <v>34</v>
      </c>
      <c r="G13" s="64"/>
    </row>
    <row r="14" spans="1:8">
      <c r="A14" s="66">
        <v>3.04</v>
      </c>
      <c r="B14" s="67" t="s">
        <v>36</v>
      </c>
      <c r="C14" s="56" t="s">
        <v>11</v>
      </c>
      <c r="D14" s="59">
        <f>IF(C14="n",LOOKUP($C$10,LUT!$I$13:$L$13,LUT!$I$15:$L$15),IF(AND(C14="y",AND($C$6=1,$C$7=1)),4,IF(AND(C14="y",AND($C$6=1,$C$7=2)),2,IF(AND(C14="y",AND($C$6=1,$C$7=3)),1,IF(AND(C14="y",AND($C$6=2,$C$7=1)),4,IF(AND(C14="y",AND($C$6=2,$C$7=2)),3,IF(AND(C14="y",AND($C$6=2,$C$7=3)),2,IF(AND(C14="y",AND($C$6=3,$C$7=1)),4,IF(AND(C14="y",AND($C$6=3,$C$7=2)),4,IF(AND(C14="y",AND($C$6=3,$C$7=3)),4,""))))))))))</f>
        <v>0</v>
      </c>
      <c r="E14" s="57"/>
      <c r="F14" s="100" t="s">
        <v>34</v>
      </c>
      <c r="G14" s="64"/>
    </row>
    <row r="15" spans="1:8" ht="121.5">
      <c r="A15" s="66">
        <v>3.05</v>
      </c>
      <c r="B15" s="67" t="s">
        <v>37</v>
      </c>
      <c r="C15" s="56" t="s">
        <v>24</v>
      </c>
      <c r="D15" s="59" t="str">
        <f>IF(C15="n",LOOKUP($C$10,LUT!$I$13:$L$13,LUT!$I$15:$L$15),IF(AND(C15="y",AND($C$6=1,$C$7=1)),2,IF(AND(C15="y",AND($C$6=1,$C$7=2)),1,IF(AND(C15="y",AND($C$6=1,$C$7=3)),1,IF(AND(C15="y",AND($C$6=2,$C$7=1)),2,IF(AND(C15="y",AND($C$6=2,$C$7=2)),2,IF(AND(C15="y",AND($C$6=2,$C$7=3)),1,IF(AND(C15="y",AND($C$6=3,$C$7=1)),2,IF(AND(C15="y",AND($C$6=3,$C$7=2)),2,IF(AND(C15="y",AND($C$6=3,$C$7=3)),2,""))))))))))</f>
        <v/>
      </c>
      <c r="E15" s="57"/>
      <c r="F15" s="64" t="s">
        <v>38</v>
      </c>
      <c r="G15" s="64" t="s">
        <v>39</v>
      </c>
    </row>
    <row r="16" spans="1:8">
      <c r="A16" s="66">
        <v>4.01</v>
      </c>
      <c r="B16" s="67" t="s">
        <v>40</v>
      </c>
      <c r="C16" s="56" t="s">
        <v>11</v>
      </c>
      <c r="D16" s="59">
        <f>IF(C16="y",VLOOKUP(LUT!C17,LUT!$C$4:$E$52,3),IF(C16="n",VLOOKUP(LUT!C17,LUT!$C$4:$E$52,2)," "))</f>
        <v>0</v>
      </c>
      <c r="E16" s="57"/>
      <c r="F16" s="64" t="s">
        <v>34</v>
      </c>
      <c r="G16" s="64"/>
    </row>
    <row r="17" spans="1:7" ht="121.5">
      <c r="A17" s="66">
        <v>4.0199999999999996</v>
      </c>
      <c r="B17" s="67" t="s">
        <v>41</v>
      </c>
      <c r="C17" s="56" t="s">
        <v>18</v>
      </c>
      <c r="D17" s="59" t="str">
        <f>IF(C17="y",VLOOKUP(LUT!C18,LUT!C4:E52,3),IF(C17="n",VLOOKUP(LUT!C18,LUT!C4:E52,2)," "))</f>
        <v xml:space="preserve"> </v>
      </c>
      <c r="E17" s="57"/>
      <c r="F17" s="64" t="s">
        <v>42</v>
      </c>
      <c r="G17" s="64" t="s">
        <v>43</v>
      </c>
    </row>
    <row r="18" spans="1:7">
      <c r="A18" s="66">
        <v>4.03</v>
      </c>
      <c r="B18" s="67" t="s">
        <v>44</v>
      </c>
      <c r="C18" s="56" t="s">
        <v>11</v>
      </c>
      <c r="D18" s="59">
        <f>IF(C18="y",VLOOKUP(LUT!C19,LUT!$C$4:$E$52,3),IF(C18="n",VLOOKUP(LUT!C19,LUT!$C$4:$E$52,2)," "))</f>
        <v>0</v>
      </c>
      <c r="E18" s="57"/>
      <c r="F18" s="64" t="s">
        <v>34</v>
      </c>
      <c r="G18" s="64"/>
    </row>
    <row r="19" spans="1:7">
      <c r="A19" s="66">
        <v>4.04</v>
      </c>
      <c r="B19" s="67" t="s">
        <v>45</v>
      </c>
      <c r="C19" s="56" t="s">
        <v>18</v>
      </c>
      <c r="D19" s="59" t="str">
        <f>IF(C19="y",VLOOKUP(LUT!C20,LUT!$C$4:$E$52,3),IF(C19="n",VLOOKUP(LUT!C20,LUT!$C$4:$E$52,2)," "))</f>
        <v xml:space="preserve"> </v>
      </c>
      <c r="E19" s="57"/>
      <c r="F19" s="64" t="s">
        <v>46</v>
      </c>
      <c r="G19" s="64"/>
    </row>
    <row r="20" spans="1:7" ht="244.5">
      <c r="A20" s="66">
        <v>4.05</v>
      </c>
      <c r="B20" s="67" t="s">
        <v>47</v>
      </c>
      <c r="C20" s="56" t="s">
        <v>24</v>
      </c>
      <c r="D20" s="59">
        <f>IF(C20="y",VLOOKUP(LUT!C21,LUT!$C$4:$E$52,3),IF(C20="n",VLOOKUP(LUT!C21,LUT!$C$4:$E$52,2)," "))</f>
        <v>1</v>
      </c>
      <c r="E20" s="57"/>
      <c r="F20" s="64" t="s">
        <v>48</v>
      </c>
      <c r="G20" s="64" t="s">
        <v>49</v>
      </c>
    </row>
    <row r="21" spans="1:7">
      <c r="A21" s="66">
        <v>4.0599999999999996</v>
      </c>
      <c r="B21" s="67" t="s">
        <v>50</v>
      </c>
      <c r="C21" s="56" t="s">
        <v>11</v>
      </c>
      <c r="D21" s="59">
        <f>IF(C21="y",VLOOKUP(LUT!C22,LUT!$C$4:$E$52,3),IF(C21="n",VLOOKUP(LUT!C22,LUT!$C$4:$E$52,2)," "))</f>
        <v>0</v>
      </c>
      <c r="E21" s="57"/>
      <c r="F21" s="64" t="s">
        <v>34</v>
      </c>
      <c r="G21" s="64"/>
    </row>
    <row r="22" spans="1:7" ht="198">
      <c r="A22" s="66">
        <v>4.07</v>
      </c>
      <c r="B22" s="67" t="s">
        <v>51</v>
      </c>
      <c r="C22" s="56" t="s">
        <v>24</v>
      </c>
      <c r="D22" s="59">
        <f>IF(C22="y",VLOOKUP(LUT!C23,LUT!$C$4:$E$52,3),IF(C22="n",VLOOKUP(LUT!C23,LUT!$C$4:$E$52,2)," "))</f>
        <v>1</v>
      </c>
      <c r="E22" s="57"/>
      <c r="F22" s="64" t="s">
        <v>52</v>
      </c>
      <c r="G22" s="64" t="s">
        <v>53</v>
      </c>
    </row>
    <row r="23" spans="1:7">
      <c r="A23" s="66">
        <v>4.08</v>
      </c>
      <c r="B23" s="67" t="s">
        <v>54</v>
      </c>
      <c r="C23" s="56" t="s">
        <v>11</v>
      </c>
      <c r="D23" s="59">
        <f>IF(C23="y",VLOOKUP(LUT!C24,LUT!$C$4:$E$52,3),IF(C23="n",VLOOKUP(LUT!C24,LUT!$C$4:$E$52,2)," "))</f>
        <v>0</v>
      </c>
      <c r="E23" s="57"/>
      <c r="F23" s="64" t="s">
        <v>34</v>
      </c>
      <c r="G23" s="64"/>
    </row>
    <row r="24" spans="1:7" ht="76.5">
      <c r="A24" s="66">
        <v>4.09</v>
      </c>
      <c r="B24" s="67" t="s">
        <v>55</v>
      </c>
      <c r="C24" s="56" t="s">
        <v>11</v>
      </c>
      <c r="D24" s="59">
        <f>IF(C24="y",VLOOKUP(LUT!C25,LUT!$C$4:$E$52,3),IF(C24="n",VLOOKUP(LUT!C25,LUT!$C$4:$E$52,2)," "))</f>
        <v>0</v>
      </c>
      <c r="E24" s="57"/>
      <c r="F24" s="64" t="s">
        <v>56</v>
      </c>
      <c r="G24" s="64" t="s">
        <v>57</v>
      </c>
    </row>
    <row r="25" spans="1:7" ht="198">
      <c r="A25" s="66">
        <v>4.0999999999999996</v>
      </c>
      <c r="B25" s="68" t="s">
        <v>58</v>
      </c>
      <c r="C25" s="56" t="s">
        <v>11</v>
      </c>
      <c r="D25" s="59">
        <f>IF(C25="y",VLOOKUP(LUT!C26,LUT!$C$4:$E$52,3),IF(C25="n",VLOOKUP(LUT!C26,LUT!$C$4:$E$52,2)," "))</f>
        <v>0</v>
      </c>
      <c r="E25" s="57"/>
      <c r="F25" s="64" t="s">
        <v>59</v>
      </c>
      <c r="G25" s="64" t="s">
        <v>60</v>
      </c>
    </row>
    <row r="26" spans="1:7">
      <c r="A26" s="66">
        <v>4.1100000000000003</v>
      </c>
      <c r="B26" s="67" t="s">
        <v>61</v>
      </c>
      <c r="C26" s="56" t="s">
        <v>11</v>
      </c>
      <c r="D26" s="59">
        <f>IF(C26="y",VLOOKUP(LUT!C27,LUT!$C$4:$E$52,3),IF(C26="n",VLOOKUP(LUT!C27,LUT!$C$4:$E$52,2)," "))</f>
        <v>0</v>
      </c>
      <c r="E26" s="57"/>
      <c r="F26" s="64" t="s">
        <v>34</v>
      </c>
      <c r="G26" s="64"/>
    </row>
    <row r="27" spans="1:7">
      <c r="A27" s="66">
        <v>4.12</v>
      </c>
      <c r="B27" s="67" t="s">
        <v>62</v>
      </c>
      <c r="C27" s="56" t="s">
        <v>11</v>
      </c>
      <c r="D27" s="59">
        <f>IF(C27="y",VLOOKUP(LUT!C28,LUT!$C$4:$E$52,3),IF(C27="n",VLOOKUP(LUT!C28,LUT!$C$4:$E$52,2)," "))</f>
        <v>0</v>
      </c>
      <c r="E27" s="57"/>
      <c r="F27" s="64" t="s">
        <v>34</v>
      </c>
      <c r="G27" s="64"/>
    </row>
    <row r="28" spans="1:7">
      <c r="A28" s="66">
        <v>5.01</v>
      </c>
      <c r="B28" s="67" t="s">
        <v>63</v>
      </c>
      <c r="C28" s="56" t="s">
        <v>11</v>
      </c>
      <c r="D28" s="59">
        <f>IF(C28="y",VLOOKUP(LUT!C29,LUT!$C$4:$E$52,3),IF(C28="n",VLOOKUP(LUT!C29,LUT!$C$4:$E$52,2)," "))</f>
        <v>0</v>
      </c>
      <c r="E28" s="57"/>
      <c r="F28" s="64" t="s">
        <v>64</v>
      </c>
      <c r="G28" s="64"/>
    </row>
    <row r="29" spans="1:7">
      <c r="A29" s="66">
        <v>5.0199999999999996</v>
      </c>
      <c r="B29" s="67" t="s">
        <v>65</v>
      </c>
      <c r="C29" s="56" t="s">
        <v>11</v>
      </c>
      <c r="D29" s="59">
        <f>IF(C29="y",VLOOKUP(LUT!C30,LUT!$C$4:$E$52,3),IF(C29="n",VLOOKUP(LUT!C30,LUT!$C$4:$E$52,2)," "))</f>
        <v>0</v>
      </c>
      <c r="E29" s="57"/>
      <c r="F29" s="64" t="s">
        <v>66</v>
      </c>
      <c r="G29" s="64"/>
    </row>
    <row r="30" spans="1:7">
      <c r="A30" s="66">
        <v>5.03</v>
      </c>
      <c r="B30" s="67" t="s">
        <v>67</v>
      </c>
      <c r="C30" s="56" t="s">
        <v>11</v>
      </c>
      <c r="D30" s="59">
        <f>IF(C30="y",VLOOKUP(LUT!C31,LUT!$C$4:$E$52,3),IF(C30="n",VLOOKUP(LUT!C31,LUT!$C$4:$E$52,2)," "))</f>
        <v>0</v>
      </c>
      <c r="E30" s="57"/>
      <c r="F30" s="64" t="s">
        <v>34</v>
      </c>
      <c r="G30" s="64"/>
    </row>
    <row r="31" spans="1:7">
      <c r="A31" s="66">
        <v>5.04</v>
      </c>
      <c r="B31" s="67" t="s">
        <v>68</v>
      </c>
      <c r="C31" s="56" t="s">
        <v>11</v>
      </c>
      <c r="D31" s="59">
        <f>IF(C31="y",VLOOKUP(LUT!C32,LUT!$C$4:$E$52,3),IF(C31="n",VLOOKUP(LUT!C32,LUT!$C$4:$E$52,2)," "))</f>
        <v>0</v>
      </c>
      <c r="E31" s="57"/>
      <c r="F31" s="64" t="s">
        <v>34</v>
      </c>
      <c r="G31" s="64"/>
    </row>
    <row r="32" spans="1:7" ht="106.5">
      <c r="A32" s="66">
        <v>6.01</v>
      </c>
      <c r="B32" s="67" t="s">
        <v>69</v>
      </c>
      <c r="C32" s="56" t="s">
        <v>24</v>
      </c>
      <c r="D32" s="59">
        <f>IF(C32="y",VLOOKUP(LUT!C33,LUT!$C$4:$E$52,3),IF(C32="n",VLOOKUP(LUT!C33,LUT!$C$4:$E$52,2)," "))</f>
        <v>1</v>
      </c>
      <c r="E32" s="57"/>
      <c r="F32" s="64" t="s">
        <v>70</v>
      </c>
      <c r="G32" s="64" t="s">
        <v>71</v>
      </c>
    </row>
    <row r="33" spans="1:7" ht="106.5">
      <c r="A33" s="66">
        <v>6.02</v>
      </c>
      <c r="B33" s="67" t="s">
        <v>72</v>
      </c>
      <c r="C33" s="56" t="s">
        <v>24</v>
      </c>
      <c r="D33" s="59">
        <f>IF(C33="y",VLOOKUP(LUT!C34,LUT!$C$4:$E$52,3),IF(C33="n",VLOOKUP(LUT!C34,LUT!$C$4:$E$52,2)," "))</f>
        <v>1</v>
      </c>
      <c r="E33" s="57"/>
      <c r="F33" s="64" t="s">
        <v>73</v>
      </c>
      <c r="G33" s="64" t="s">
        <v>74</v>
      </c>
    </row>
    <row r="34" spans="1:7" ht="152.25">
      <c r="A34" s="66">
        <v>6.03</v>
      </c>
      <c r="B34" s="67" t="s">
        <v>75</v>
      </c>
      <c r="C34" s="56" t="s">
        <v>24</v>
      </c>
      <c r="D34" s="59">
        <f>IF(C34="y",VLOOKUP(LUT!C35,LUT!$C$4:$E$52,3),IF(C34="n",VLOOKUP(LUT!C35,LUT!$C$4:$E$52,2)," "))</f>
        <v>1</v>
      </c>
      <c r="E34" s="57"/>
      <c r="F34" s="64" t="s">
        <v>76</v>
      </c>
      <c r="G34" s="64" t="s">
        <v>77</v>
      </c>
    </row>
    <row r="35" spans="1:7" ht="121.5">
      <c r="A35" s="66">
        <v>6.04</v>
      </c>
      <c r="B35" s="67" t="s">
        <v>78</v>
      </c>
      <c r="C35" s="56"/>
      <c r="D35" s="59" t="str">
        <f>IF(C35="y",VLOOKUP(LUT!C36,LUT!$C$4:$E$52,3),IF(C35="n",VLOOKUP(LUT!C36,LUT!$C$4:$E$52,2)," "))</f>
        <v xml:space="preserve"> </v>
      </c>
      <c r="E35" s="57"/>
      <c r="F35" s="64" t="s">
        <v>79</v>
      </c>
      <c r="G35" s="64" t="s">
        <v>80</v>
      </c>
    </row>
    <row r="36" spans="1:7">
      <c r="A36" s="66">
        <v>6.05</v>
      </c>
      <c r="B36" s="67" t="s">
        <v>81</v>
      </c>
      <c r="C36" s="56" t="s">
        <v>11</v>
      </c>
      <c r="D36" s="59">
        <f>IF(C36="y",VLOOKUP(LUT!C37,LUT!$C$4:$E$52,3),IF(C36="n",VLOOKUP(LUT!C37,LUT!$C$4:$E$52,2)," "))</f>
        <v>0</v>
      </c>
      <c r="E36" s="57"/>
      <c r="F36" s="64" t="s">
        <v>34</v>
      </c>
      <c r="G36" s="64"/>
    </row>
    <row r="37" spans="1:7" ht="121.5">
      <c r="A37" s="66">
        <v>6.06</v>
      </c>
      <c r="B37" s="67" t="s">
        <v>82</v>
      </c>
      <c r="C37" s="56" t="s">
        <v>18</v>
      </c>
      <c r="D37" s="59" t="str">
        <f>IF(C37="y",VLOOKUP(LUT!C38,LUT!$C$4:$E$52,3),IF(C37="n",VLOOKUP(LUT!C38,LUT!$C$4:$E$52,2)," "))</f>
        <v xml:space="preserve"> </v>
      </c>
      <c r="E37" s="57"/>
      <c r="F37" s="64" t="s">
        <v>83</v>
      </c>
      <c r="G37" s="64" t="s">
        <v>84</v>
      </c>
    </row>
    <row r="38" spans="1:7" ht="76.5">
      <c r="A38" s="66">
        <v>6.07</v>
      </c>
      <c r="B38" s="67" t="s">
        <v>85</v>
      </c>
      <c r="C38" s="84" t="s">
        <v>86</v>
      </c>
      <c r="D38" s="59">
        <f>IF(C38="1 or fewer",1,IF(C38="2 or 3",0,IF(C38&gt;="4 or more",-1," ")))</f>
        <v>-1</v>
      </c>
      <c r="E38" s="57"/>
      <c r="F38" s="64" t="s">
        <v>87</v>
      </c>
      <c r="G38" s="64" t="s">
        <v>84</v>
      </c>
    </row>
    <row r="39" spans="1:7" ht="30.75">
      <c r="A39" s="66">
        <v>7.01</v>
      </c>
      <c r="B39" s="67" t="s">
        <v>88</v>
      </c>
      <c r="C39" s="56" t="s">
        <v>11</v>
      </c>
      <c r="D39" s="59">
        <f>IF(C39="y",VLOOKUP(LUT!C40,LUT!$C$4:$E$52,3),IF(C39="n",VLOOKUP(LUT!C40,LUT!$C$4:$E$52,2)," "))</f>
        <v>-1</v>
      </c>
      <c r="E39" s="57"/>
      <c r="F39" s="64" t="s">
        <v>34</v>
      </c>
      <c r="G39" s="64"/>
    </row>
    <row r="40" spans="1:7" ht="60.75">
      <c r="A40" s="66">
        <v>7.02</v>
      </c>
      <c r="B40" s="67" t="s">
        <v>89</v>
      </c>
      <c r="C40" s="56" t="s">
        <v>24</v>
      </c>
      <c r="D40" s="59">
        <f>IF(C40="y",VLOOKUP(LUT!C41,LUT!$C$4:$E$52,3),IF(C40="n",VLOOKUP(LUT!C41,LUT!$C$4:$E$52,2)," "))</f>
        <v>1</v>
      </c>
      <c r="E40" s="57"/>
      <c r="F40" s="64" t="s">
        <v>90</v>
      </c>
      <c r="G40" s="64" t="s">
        <v>91</v>
      </c>
    </row>
    <row r="41" spans="1:7" ht="30.75">
      <c r="A41" s="66">
        <v>7.03</v>
      </c>
      <c r="B41" s="67" t="s">
        <v>92</v>
      </c>
      <c r="C41" s="56" t="s">
        <v>11</v>
      </c>
      <c r="D41" s="59">
        <f>IF(C41="y",VLOOKUP(LUT!C42,LUT!$C$4:$E$52,3),IF(C41="n",VLOOKUP(LUT!C42,LUT!$C$4:$E$52,2)," "))</f>
        <v>-1</v>
      </c>
      <c r="E41" s="57"/>
      <c r="F41" s="64" t="s">
        <v>34</v>
      </c>
      <c r="G41" s="64"/>
    </row>
    <row r="42" spans="1:7" ht="45.75">
      <c r="A42" s="66">
        <v>7.04</v>
      </c>
      <c r="B42" s="67" t="s">
        <v>93</v>
      </c>
      <c r="C42" s="56" t="s">
        <v>24</v>
      </c>
      <c r="D42" s="59">
        <f>IF(C42="y",VLOOKUP(LUT!C43,LUT!$C$4:$E$52,3),IF(C42="n",VLOOKUP(LUT!C43,LUT!$C$4:$E$52,2)," "))</f>
        <v>1</v>
      </c>
      <c r="E42" s="57"/>
      <c r="F42" s="64" t="s">
        <v>94</v>
      </c>
      <c r="G42" s="64" t="s">
        <v>95</v>
      </c>
    </row>
    <row r="43" spans="1:7" ht="167.25">
      <c r="A43" s="66">
        <v>7.05</v>
      </c>
      <c r="B43" s="67" t="s">
        <v>96</v>
      </c>
      <c r="C43" s="56" t="s">
        <v>24</v>
      </c>
      <c r="D43" s="59">
        <f>IF(C43="y",VLOOKUP(LUT!C44,LUT!$C$4:$E$52,3),IF(C43="n",VLOOKUP(LUT!C44,LUT!$C$4:$E$52,2)," "))</f>
        <v>1</v>
      </c>
      <c r="E43" s="57"/>
      <c r="F43" s="64" t="s">
        <v>97</v>
      </c>
      <c r="G43" s="64" t="s">
        <v>98</v>
      </c>
    </row>
    <row r="44" spans="1:7">
      <c r="A44" s="66">
        <v>7.06</v>
      </c>
      <c r="B44" s="67" t="s">
        <v>99</v>
      </c>
      <c r="C44" s="56" t="s">
        <v>11</v>
      </c>
      <c r="D44" s="59">
        <f>IF(C44="y",VLOOKUP(LUT!C45,LUT!$C$4:$E$52,3),IF(C44="n",VLOOKUP(LUT!C45,LUT!$C$4:$E$52,2)," "))</f>
        <v>-1</v>
      </c>
      <c r="E44" s="57"/>
      <c r="F44" s="64" t="s">
        <v>34</v>
      </c>
      <c r="G44" s="64"/>
    </row>
    <row r="45" spans="1:7">
      <c r="A45" s="66">
        <v>7.07</v>
      </c>
      <c r="B45" s="67" t="s">
        <v>100</v>
      </c>
      <c r="C45" s="56" t="s">
        <v>11</v>
      </c>
      <c r="D45" s="59">
        <f>IF(C45="y",VLOOKUP(LUT!C46,LUT!$C$4:$E$52,3),IF(C45="n",VLOOKUP(LUT!C46,LUT!$C$4:$E$52,2)," "))</f>
        <v>-1</v>
      </c>
      <c r="E45" s="57"/>
      <c r="F45" s="64" t="s">
        <v>34</v>
      </c>
      <c r="G45" s="64"/>
    </row>
    <row r="46" spans="1:7">
      <c r="A46" s="66">
        <v>7.08</v>
      </c>
      <c r="B46" s="67" t="s">
        <v>101</v>
      </c>
      <c r="C46" s="56" t="s">
        <v>11</v>
      </c>
      <c r="D46" s="59">
        <f>IF(C46="y",VLOOKUP(LUT!C47,LUT!$C$4:$E$52,3),IF(C46="n",VLOOKUP(LUT!C47,LUT!$C$4:$E$52,2)," "))</f>
        <v>-1</v>
      </c>
      <c r="E46" s="57"/>
      <c r="F46" s="64" t="s">
        <v>34</v>
      </c>
      <c r="G46" s="64"/>
    </row>
    <row r="47" spans="1:7" ht="91.5">
      <c r="A47" s="66">
        <v>8.01</v>
      </c>
      <c r="B47" s="67" t="s">
        <v>102</v>
      </c>
      <c r="C47" s="56" t="s">
        <v>11</v>
      </c>
      <c r="D47" s="59">
        <f>IF(C47="y",VLOOKUP(LUT!C48,LUT!$C$4:$E$52,3),IF(C47="n",VLOOKUP(LUT!C48,LUT!$C$4:$E$52,2)," "))</f>
        <v>-1</v>
      </c>
      <c r="E47" s="57"/>
      <c r="F47" s="64" t="s">
        <v>103</v>
      </c>
      <c r="G47" s="64" t="s">
        <v>104</v>
      </c>
    </row>
    <row r="48" spans="1:7" ht="121.5">
      <c r="A48" s="66">
        <v>8.02</v>
      </c>
      <c r="B48" s="67" t="s">
        <v>105</v>
      </c>
      <c r="C48" s="56" t="s">
        <v>11</v>
      </c>
      <c r="D48" s="59">
        <f>IF(C48="y",VLOOKUP(LUT!C49,LUT!$C$4:$E$52,3),IF(C48="n",VLOOKUP(LUT!C49,LUT!$C$4:$E$52,2)," "))</f>
        <v>-1</v>
      </c>
      <c r="E48" s="57"/>
      <c r="F48" s="56" t="s">
        <v>106</v>
      </c>
      <c r="G48" s="64" t="s">
        <v>107</v>
      </c>
    </row>
    <row r="49" spans="1:7" ht="167.25">
      <c r="A49" s="66">
        <v>8.0299999999999994</v>
      </c>
      <c r="B49" s="67" t="s">
        <v>108</v>
      </c>
      <c r="C49" s="56" t="s">
        <v>24</v>
      </c>
      <c r="D49" s="59">
        <f>IF(C49="y",VLOOKUP(LUT!C50,LUT!$C$4:$E$52,3),IF(C49="n",VLOOKUP(LUT!C50,LUT!$C$4:$E$52,2)," "))</f>
        <v>-1</v>
      </c>
      <c r="E49" s="57"/>
      <c r="F49" s="64" t="s">
        <v>109</v>
      </c>
      <c r="G49" s="64" t="s">
        <v>110</v>
      </c>
    </row>
    <row r="50" spans="1:7" ht="106.5">
      <c r="A50" s="66">
        <v>8.0399999999999991</v>
      </c>
      <c r="B50" s="67" t="s">
        <v>111</v>
      </c>
      <c r="C50" s="56" t="s">
        <v>24</v>
      </c>
      <c r="D50" s="59">
        <f>IF(C50="y",VLOOKUP(LUT!C51,LUT!$C$4:$E$52,3),IF(C50="n",VLOOKUP(LUT!C51,LUT!$C$4:$E$52,2)," "))</f>
        <v>1</v>
      </c>
      <c r="E50" s="57"/>
      <c r="F50" s="64" t="s">
        <v>112</v>
      </c>
      <c r="G50" s="64" t="s">
        <v>113</v>
      </c>
    </row>
    <row r="51" spans="1:7">
      <c r="A51" s="66">
        <v>8.0500000000000007</v>
      </c>
      <c r="B51" s="67" t="s">
        <v>114</v>
      </c>
      <c r="C51" s="56" t="s">
        <v>18</v>
      </c>
      <c r="D51" s="59" t="str">
        <f>IF(C51="y",VLOOKUP(LUT!C52,LUT!$C$4:$E$52,3),IF(C51="n",VLOOKUP(LUT!C52,LUT!$C$4:$E$52,2)," "))</f>
        <v xml:space="preserve"> </v>
      </c>
      <c r="E51" s="57"/>
      <c r="F51" s="64" t="s">
        <v>115</v>
      </c>
      <c r="G51" s="64"/>
    </row>
    <row r="52" spans="1:7">
      <c r="A52" s="87"/>
      <c r="B52" s="86"/>
      <c r="C52" s="56"/>
      <c r="D52" s="56"/>
      <c r="E52" s="57"/>
      <c r="G52" s="56"/>
    </row>
    <row r="53" spans="1:7" ht="29.25" customHeight="1">
      <c r="A53" s="56"/>
      <c r="B53" s="56"/>
      <c r="C53" s="69" t="s">
        <v>116</v>
      </c>
      <c r="D53" s="61">
        <f>SUM(D3:D51)</f>
        <v>-1</v>
      </c>
      <c r="E53" s="62"/>
      <c r="G53" s="56"/>
    </row>
    <row r="54" spans="1:7" ht="33" customHeight="1" thickBot="1">
      <c r="A54" s="56"/>
      <c r="B54" s="56"/>
      <c r="C54" s="70" t="s">
        <v>117</v>
      </c>
      <c r="D54" s="21" t="str">
        <f>IF(E60="no","more info needed",IF(D53&lt;1,"accept",IF(D53&gt;6,"reject","evaluate further")))</f>
        <v>accept</v>
      </c>
      <c r="E54" s="62"/>
      <c r="G54" s="56"/>
    </row>
    <row r="55" spans="1:7">
      <c r="A55" s="56"/>
      <c r="B55" s="56"/>
      <c r="C55" s="56"/>
      <c r="D55" s="56"/>
      <c r="E55" s="57"/>
      <c r="G55" s="56"/>
    </row>
    <row r="56" spans="1:7" ht="45.75">
      <c r="A56" s="56"/>
      <c r="B56" s="22" t="s">
        <v>118</v>
      </c>
      <c r="C56" s="23" t="s">
        <v>119</v>
      </c>
      <c r="D56" s="19" t="s">
        <v>120</v>
      </c>
      <c r="E56" s="62"/>
      <c r="F56" s="63"/>
      <c r="G56" s="56"/>
    </row>
    <row r="57" spans="1:7">
      <c r="A57" s="56"/>
      <c r="B57" s="28" t="s">
        <v>121</v>
      </c>
      <c r="C57" s="24">
        <f>COUNTIF(C3:C15, "y")+COUNTIF(C3:C15, "n")+COUNTIF(C6:C7, "1")+COUNTIF(C6:C7, "2")+COUNTIF(C6:C7, "3")</f>
        <v>10</v>
      </c>
      <c r="D57" s="20" t="str">
        <f>IF(C57&gt;=2,"yes","no")</f>
        <v>yes</v>
      </c>
      <c r="E57" s="62"/>
      <c r="G57" s="56"/>
    </row>
    <row r="58" spans="1:7">
      <c r="A58" s="56"/>
      <c r="B58" s="29" t="s">
        <v>122</v>
      </c>
      <c r="C58" s="24">
        <f>COUNTIF(C16:C27,"y")+COUNTIF(C16:C27,"n")</f>
        <v>10</v>
      </c>
      <c r="D58" s="20" t="str">
        <f>IF(C58&gt;=2,"yes","no")</f>
        <v>yes</v>
      </c>
      <c r="E58" s="62"/>
      <c r="G58" s="56"/>
    </row>
    <row r="59" spans="1:7">
      <c r="A59" s="56"/>
      <c r="B59" s="28" t="s">
        <v>123</v>
      </c>
      <c r="C59" s="24">
        <f>COUNTIF(C28:C51,"y")+COUNTIF(C28:C51, "n")+COUNT(C28:C51)</f>
        <v>20</v>
      </c>
      <c r="D59" s="20" t="str">
        <f>IF(C59&gt;=6,"yes","no")</f>
        <v>yes</v>
      </c>
      <c r="E59" s="62"/>
      <c r="G59" s="56"/>
    </row>
    <row r="60" spans="1:7">
      <c r="A60" s="56"/>
      <c r="B60" s="25" t="s">
        <v>124</v>
      </c>
      <c r="C60" s="26">
        <f>SUM(C57:C59)</f>
        <v>40</v>
      </c>
      <c r="D60" s="21" t="str">
        <f>IF(D57="no","no",IF(D58="no","no",IF(D59="no","no","yes")))</f>
        <v>yes</v>
      </c>
      <c r="E60" s="62"/>
      <c r="G60" s="56"/>
    </row>
    <row r="61" spans="1:7">
      <c r="A61" s="56"/>
      <c r="B61" s="56"/>
      <c r="C61" s="56"/>
      <c r="D61" s="56"/>
      <c r="E61" s="57"/>
      <c r="G61" s="56"/>
    </row>
    <row r="62" spans="1:7">
      <c r="A62" s="56"/>
      <c r="B62" s="56"/>
      <c r="C62" s="56"/>
      <c r="D62" s="56"/>
      <c r="E62" s="57"/>
      <c r="G62" s="56"/>
    </row>
    <row r="63" spans="1:7">
      <c r="A63" s="56"/>
      <c r="B63" s="107" t="s">
        <v>125</v>
      </c>
      <c r="C63" s="107"/>
      <c r="D63" s="107"/>
      <c r="E63" s="62"/>
      <c r="G63" s="56"/>
    </row>
    <row r="64" spans="1:7">
      <c r="A64" s="56"/>
      <c r="B64" s="108" t="s">
        <v>126</v>
      </c>
      <c r="C64" s="109"/>
      <c r="D64" s="110"/>
      <c r="E64" s="62"/>
      <c r="G64" s="56"/>
    </row>
    <row r="65" spans="1:7">
      <c r="A65" s="56">
        <v>9.01</v>
      </c>
      <c r="B65" s="71" t="s">
        <v>127</v>
      </c>
      <c r="C65" s="111"/>
      <c r="D65" s="112"/>
      <c r="E65" s="62"/>
      <c r="G65" s="56"/>
    </row>
    <row r="66" spans="1:7">
      <c r="A66" s="56">
        <v>9.02</v>
      </c>
      <c r="B66" s="71" t="s">
        <v>128</v>
      </c>
      <c r="C66" s="113"/>
      <c r="D66" s="114"/>
      <c r="E66" s="62"/>
      <c r="G66" s="56"/>
    </row>
    <row r="67" spans="1:7">
      <c r="A67" s="56">
        <v>9.0299999999999994</v>
      </c>
      <c r="B67" s="71" t="s">
        <v>129</v>
      </c>
      <c r="C67" s="105"/>
      <c r="D67" s="106"/>
      <c r="E67" s="62"/>
      <c r="G67" s="56"/>
    </row>
    <row r="68" spans="1:7">
      <c r="A68" s="56">
        <v>9.0399999999999991</v>
      </c>
      <c r="B68" s="71" t="s">
        <v>130</v>
      </c>
      <c r="C68" s="105"/>
      <c r="D68" s="106"/>
      <c r="E68" s="62"/>
      <c r="G68" s="56"/>
    </row>
    <row r="69" spans="1:7">
      <c r="A69" s="56">
        <v>9.0500000000000007</v>
      </c>
      <c r="B69" s="71" t="s">
        <v>131</v>
      </c>
      <c r="C69" s="105"/>
      <c r="D69" s="106"/>
      <c r="E69" s="62"/>
      <c r="G69" s="56"/>
    </row>
    <row r="70" spans="1:7">
      <c r="A70" s="56">
        <v>9.06</v>
      </c>
      <c r="B70" s="71" t="s">
        <v>132</v>
      </c>
      <c r="C70" s="105"/>
      <c r="D70" s="106"/>
      <c r="E70" s="62"/>
      <c r="G70" s="56"/>
    </row>
    <row r="71" spans="1:7">
      <c r="A71" s="56">
        <v>9.07</v>
      </c>
      <c r="B71" s="71" t="s">
        <v>133</v>
      </c>
      <c r="C71" s="94"/>
      <c r="D71" s="97" t="str">
        <f>IF(C71="yes", IF(OR(C65="?", C66="?", C67="no", C67="?"), "eval.", IF(AND(C65="yes", C66="yes", C67="yes"), "reject", IF(OR(C65="no", C66="no"), "accept", " ")))," ")</f>
        <v xml:space="preserve"> </v>
      </c>
      <c r="E71" s="62"/>
      <c r="G71" s="56"/>
    </row>
    <row r="72" spans="1:7">
      <c r="A72" s="56">
        <v>9.08</v>
      </c>
      <c r="B72" s="71" t="s">
        <v>134</v>
      </c>
      <c r="C72" s="92"/>
      <c r="D72" s="89" t="str">
        <f>IF(C71="yes","STOP",IF(C72="yes",IF(C68="no","accept",IF(AND(C68="yes",OR(C69="yes",C70="yes")),"reject",IF(OR(C68="?",C69="?",C70="?",C69="no",C70="no"),"eval.",""))), ""))</f>
        <v/>
      </c>
      <c r="E72" s="62"/>
      <c r="G72" s="56"/>
    </row>
    <row r="73" spans="1:7">
      <c r="A73" s="56">
        <v>9.09</v>
      </c>
      <c r="B73" s="91" t="s">
        <v>135</v>
      </c>
      <c r="C73" s="93"/>
      <c r="D73" s="90" t="str">
        <f>IF(OR(C71="yes",C72="yes"),"STOP",IF(C73="yes",IF(AND(LUT!I26="accept",LUT!I27="accept"),"accept",IF(AND(LUT!I26="eval.",LUT!I27="eval."),"eval.",IF(OR(LUT!I26="reject",LUT!I27="reject"),"reject",""))),""))</f>
        <v/>
      </c>
      <c r="E73" s="62"/>
      <c r="G73" s="56"/>
    </row>
    <row r="74" spans="1:7">
      <c r="A74" s="56"/>
      <c r="B74" s="72" t="s">
        <v>136</v>
      </c>
      <c r="C74" s="103" t="str">
        <f>IF(OR(D71="accept", D72="accept", D73="accept"), "Accept", IF(OR(D71="eval.", D72="eval.", D73="eval."), "Evaluate Further", IF(OR(D71="reject", D72="reject",D73="reject"), "Reject", "")))</f>
        <v/>
      </c>
      <c r="D74" s="104"/>
      <c r="E74" s="62"/>
      <c r="G74" s="56"/>
    </row>
    <row r="75" spans="1:7">
      <c r="A75" s="56"/>
      <c r="B75" s="64"/>
      <c r="C75" s="64"/>
      <c r="D75" s="56"/>
      <c r="E75" s="57"/>
      <c r="G75" s="56"/>
    </row>
    <row r="76" spans="1:7">
      <c r="A76" s="56"/>
      <c r="B76" s="64"/>
      <c r="C76" s="64"/>
      <c r="D76" s="56"/>
      <c r="E76" s="57"/>
      <c r="G76" s="56"/>
    </row>
    <row r="77" spans="1:7">
      <c r="A77" s="56"/>
      <c r="B77" s="64"/>
      <c r="C77" s="64"/>
      <c r="D77" s="56"/>
      <c r="E77" s="57"/>
      <c r="G77" s="56"/>
    </row>
    <row r="78" spans="1:7">
      <c r="A78" s="56"/>
      <c r="B78" s="64"/>
      <c r="C78" s="64"/>
      <c r="D78" s="56"/>
      <c r="E78" s="57"/>
      <c r="G78" s="56"/>
    </row>
    <row r="79" spans="1:7">
      <c r="A79" s="56"/>
      <c r="B79" s="64"/>
      <c r="C79" s="64"/>
      <c r="D79" s="56"/>
      <c r="E79" s="57"/>
      <c r="G79" s="56"/>
    </row>
    <row r="80" spans="1:7">
      <c r="A80" s="56"/>
      <c r="B80" s="64"/>
      <c r="C80" s="64"/>
      <c r="D80" s="56"/>
      <c r="E80" s="57"/>
      <c r="G80" s="56"/>
    </row>
    <row r="81" spans="1:7">
      <c r="A81" s="56"/>
      <c r="B81" s="64"/>
      <c r="C81" s="64"/>
      <c r="D81" s="56"/>
      <c r="E81" s="57"/>
      <c r="G81" s="56"/>
    </row>
    <row r="82" spans="1:7">
      <c r="A82" s="56"/>
      <c r="B82" s="64"/>
      <c r="C82" s="64"/>
      <c r="D82" s="56"/>
      <c r="E82" s="57"/>
      <c r="G82" s="56"/>
    </row>
    <row r="83" spans="1:7">
      <c r="A83" s="56"/>
      <c r="B83" s="64"/>
      <c r="C83" s="64"/>
      <c r="D83" s="56"/>
      <c r="E83" s="57"/>
      <c r="G83" s="56"/>
    </row>
    <row r="84" spans="1:7">
      <c r="A84" s="56"/>
      <c r="B84" s="64"/>
      <c r="C84" s="64"/>
      <c r="D84" s="56"/>
      <c r="E84" s="57"/>
      <c r="G84" s="56"/>
    </row>
    <row r="85" spans="1:7">
      <c r="A85" s="56"/>
      <c r="B85" s="64"/>
      <c r="C85" s="64"/>
      <c r="D85" s="56"/>
      <c r="E85" s="57"/>
      <c r="G85" s="56"/>
    </row>
    <row r="86" spans="1:7">
      <c r="A86" s="56"/>
      <c r="B86" s="56"/>
      <c r="C86" s="56"/>
      <c r="D86" s="56"/>
      <c r="E86" s="57"/>
      <c r="G86" s="56"/>
    </row>
  </sheetData>
  <sheetProtection algorithmName="SHA-512" hashValue="MZrUtja7PJJDBC1B4jwD1l/Vd11nSCw1Immg4b2LVW4Cbn46bR2XSzczeuRm6UGdiQ3ljPyFp1/LgSDPZLisiQ==" saltValue="lXs5ZdypR3R8tD5PrOkg/A==" spinCount="100000" sheet="1" formatCells="0" formatColumns="0" formatRows="0" insertHyperlinks="0"/>
  <mergeCells count="9">
    <mergeCell ref="C74:D74"/>
    <mergeCell ref="C69:D69"/>
    <mergeCell ref="B63:D63"/>
    <mergeCell ref="C68:D68"/>
    <mergeCell ref="C70:D70"/>
    <mergeCell ref="B64:D64"/>
    <mergeCell ref="C65:D65"/>
    <mergeCell ref="C66:D66"/>
    <mergeCell ref="C67:D67"/>
  </mergeCells>
  <dataValidations count="5">
    <dataValidation type="list" allowBlank="1" showInputMessage="1" showErrorMessage="1" sqref="C6:C7" xr:uid="{978B89CE-69C6-4161-A034-AC015DA0075F}">
      <formula1>"1,2,3,?"</formula1>
    </dataValidation>
    <dataValidation type="list" allowBlank="1" showInputMessage="1" showErrorMessage="1" sqref="C3 C4:C5 C8:C37 C39:C51" xr:uid="{A77910E4-8094-445A-B01F-5DFC8D9709A0}">
      <formula1>"y,n,?"</formula1>
    </dataValidation>
    <dataValidation type="list" allowBlank="1" showInputMessage="1" showErrorMessage="1" sqref="C38" xr:uid="{7B5D2DC9-EDC8-46A0-9AF9-27EF244727AD}">
      <formula1>"1 or fewer, 2 or 3, 4 or more,?"</formula1>
    </dataValidation>
    <dataValidation type="list" errorStyle="information" allowBlank="1" showInputMessage="1" showErrorMessage="1" errorTitle="Invalid Entry" error="Make a selection from the drop-down menu, or enter &quot;yes&quot; or &quot;no&quot;. Other entries will not work." sqref="C72 C73 C71:C72" xr:uid="{6E363CE9-056D-45A6-863F-0434A36F596E}">
      <formula1>"yes, no"</formula1>
    </dataValidation>
    <dataValidation type="list" allowBlank="1" showInputMessage="1" showErrorMessage="1" sqref="C70 C68 C69:C72 C67 C66 C65:D65" xr:uid="{7728EFC8-AC11-4E25-B467-7DD30AB392B5}">
      <formula1>"yes, no, ?"</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A408A-7496-40D5-8E67-BFE1B4BFE658}">
  <dimension ref="B1:R54"/>
  <sheetViews>
    <sheetView zoomScaleNormal="100" workbookViewId="0">
      <selection activeCell="O24" sqref="O24"/>
    </sheetView>
  </sheetViews>
  <sheetFormatPr defaultColWidth="8.85546875" defaultRowHeight="15"/>
  <cols>
    <col min="1" max="1" width="6.85546875" customWidth="1"/>
    <col min="8" max="8" width="18.28515625" customWidth="1"/>
  </cols>
  <sheetData>
    <row r="1" spans="2:18" ht="15.95" thickBot="1"/>
    <row r="2" spans="2:18" ht="15.95" thickBot="1">
      <c r="B2" t="s">
        <v>137</v>
      </c>
      <c r="H2" s="115" t="s">
        <v>138</v>
      </c>
      <c r="I2" s="116"/>
      <c r="J2" s="116"/>
      <c r="K2" s="116"/>
      <c r="L2" s="116"/>
      <c r="M2" s="116"/>
      <c r="N2" s="116"/>
      <c r="O2" s="116"/>
      <c r="P2" s="116"/>
      <c r="Q2" s="116"/>
      <c r="R2" s="117"/>
    </row>
    <row r="3" spans="2:18">
      <c r="B3" s="1" t="s">
        <v>118</v>
      </c>
      <c r="C3" s="2" t="s">
        <v>4</v>
      </c>
      <c r="D3" s="2" t="s">
        <v>139</v>
      </c>
      <c r="E3" s="3" t="s">
        <v>140</v>
      </c>
      <c r="H3" s="147" t="s">
        <v>141</v>
      </c>
      <c r="I3" s="148"/>
      <c r="J3" s="148"/>
      <c r="K3" s="148"/>
      <c r="L3" s="148"/>
      <c r="M3" s="148"/>
      <c r="N3" s="148"/>
      <c r="O3" s="148"/>
      <c r="P3" s="148"/>
      <c r="Q3" s="148"/>
      <c r="R3" s="149"/>
    </row>
    <row r="4" spans="2:18">
      <c r="B4" s="4" t="s">
        <v>142</v>
      </c>
      <c r="C4">
        <v>1.01</v>
      </c>
      <c r="D4">
        <v>0</v>
      </c>
      <c r="E4" s="5">
        <v>-3</v>
      </c>
      <c r="H4" s="137" t="s">
        <v>143</v>
      </c>
      <c r="I4" s="138"/>
      <c r="J4" s="138"/>
      <c r="K4" s="138"/>
      <c r="L4" s="138"/>
      <c r="M4" s="138"/>
      <c r="N4" s="138"/>
      <c r="O4" s="138"/>
      <c r="P4" s="138"/>
      <c r="Q4" s="138"/>
      <c r="R4" s="16" t="s">
        <v>144</v>
      </c>
    </row>
    <row r="5" spans="2:18">
      <c r="B5" s="4" t="s">
        <v>123</v>
      </c>
      <c r="C5">
        <v>1.02</v>
      </c>
      <c r="D5">
        <v>-1</v>
      </c>
      <c r="E5" s="5">
        <v>1</v>
      </c>
      <c r="H5" s="137" t="s">
        <v>145</v>
      </c>
      <c r="I5" s="10">
        <v>2.0099999999999998</v>
      </c>
      <c r="J5" s="10">
        <v>1</v>
      </c>
      <c r="K5" s="10">
        <v>1</v>
      </c>
      <c r="L5" s="10">
        <v>1</v>
      </c>
      <c r="M5" s="10">
        <v>2</v>
      </c>
      <c r="N5" s="10">
        <v>2</v>
      </c>
      <c r="O5" s="10">
        <v>2</v>
      </c>
      <c r="P5" s="10">
        <v>3</v>
      </c>
      <c r="Q5" s="10">
        <v>3</v>
      </c>
      <c r="R5" s="11">
        <v>3</v>
      </c>
    </row>
    <row r="6" spans="2:18">
      <c r="B6" s="4" t="s">
        <v>123</v>
      </c>
      <c r="C6">
        <v>1.03</v>
      </c>
      <c r="D6">
        <v>-1</v>
      </c>
      <c r="E6" s="5">
        <v>1</v>
      </c>
      <c r="H6" s="137"/>
      <c r="I6" s="10">
        <v>2.02</v>
      </c>
      <c r="J6" s="10">
        <v>1</v>
      </c>
      <c r="K6" s="10">
        <v>2</v>
      </c>
      <c r="L6" s="10">
        <v>3</v>
      </c>
      <c r="M6" s="10">
        <v>1</v>
      </c>
      <c r="N6" s="10">
        <v>2</v>
      </c>
      <c r="O6" s="10">
        <v>3</v>
      </c>
      <c r="P6" s="10">
        <v>1</v>
      </c>
      <c r="Q6" s="10">
        <v>2</v>
      </c>
      <c r="R6" s="11">
        <v>3</v>
      </c>
    </row>
    <row r="7" spans="2:18">
      <c r="B7" s="4"/>
      <c r="C7">
        <v>2.0099999999999998</v>
      </c>
      <c r="D7" s="125" t="s">
        <v>146</v>
      </c>
      <c r="E7" s="126"/>
      <c r="H7" s="120" t="s">
        <v>147</v>
      </c>
      <c r="I7" s="10">
        <v>3.01</v>
      </c>
      <c r="J7" s="10">
        <v>2</v>
      </c>
      <c r="K7" s="10">
        <v>1</v>
      </c>
      <c r="L7" s="10">
        <v>1</v>
      </c>
      <c r="M7" s="10">
        <v>2</v>
      </c>
      <c r="N7" s="10">
        <v>2</v>
      </c>
      <c r="O7" s="10">
        <v>1</v>
      </c>
      <c r="P7" s="10">
        <v>2</v>
      </c>
      <c r="Q7" s="10">
        <v>2</v>
      </c>
      <c r="R7" s="11">
        <v>2</v>
      </c>
    </row>
    <row r="8" spans="2:18">
      <c r="B8" s="4"/>
      <c r="C8">
        <v>2.02</v>
      </c>
      <c r="D8" s="127"/>
      <c r="E8" s="128"/>
      <c r="H8" s="120"/>
      <c r="I8" s="10">
        <v>3.02</v>
      </c>
      <c r="J8" s="10">
        <v>2</v>
      </c>
      <c r="K8" s="10">
        <v>1</v>
      </c>
      <c r="L8" s="10">
        <v>1</v>
      </c>
      <c r="M8" s="10">
        <v>2</v>
      </c>
      <c r="N8" s="10">
        <v>2</v>
      </c>
      <c r="O8" s="10">
        <v>1</v>
      </c>
      <c r="P8" s="10">
        <v>2</v>
      </c>
      <c r="Q8" s="10">
        <v>2</v>
      </c>
      <c r="R8" s="11">
        <v>2</v>
      </c>
    </row>
    <row r="9" spans="2:18">
      <c r="B9" s="4" t="s">
        <v>123</v>
      </c>
      <c r="C9">
        <v>2.0299999999999998</v>
      </c>
      <c r="D9">
        <v>0</v>
      </c>
      <c r="E9" s="5">
        <v>1</v>
      </c>
      <c r="H9" s="120"/>
      <c r="I9" s="10">
        <v>3.03</v>
      </c>
      <c r="J9" s="10">
        <v>4</v>
      </c>
      <c r="K9" s="10">
        <v>2</v>
      </c>
      <c r="L9" s="10">
        <v>1</v>
      </c>
      <c r="M9" s="10">
        <v>4</v>
      </c>
      <c r="N9" s="10">
        <v>3</v>
      </c>
      <c r="O9" s="10">
        <v>2</v>
      </c>
      <c r="P9" s="10">
        <v>4</v>
      </c>
      <c r="Q9" s="10">
        <v>4</v>
      </c>
      <c r="R9" s="11">
        <v>4</v>
      </c>
    </row>
    <row r="10" spans="2:18">
      <c r="B10" s="4" t="s">
        <v>123</v>
      </c>
      <c r="C10">
        <v>2.04</v>
      </c>
      <c r="D10">
        <v>0</v>
      </c>
      <c r="E10" s="5">
        <v>1</v>
      </c>
      <c r="H10" s="120"/>
      <c r="I10" s="10">
        <v>3.04</v>
      </c>
      <c r="J10" s="10">
        <v>4</v>
      </c>
      <c r="K10" s="10">
        <v>2</v>
      </c>
      <c r="L10" s="10">
        <v>1</v>
      </c>
      <c r="M10" s="10">
        <v>4</v>
      </c>
      <c r="N10" s="10">
        <v>3</v>
      </c>
      <c r="O10" s="10">
        <v>2</v>
      </c>
      <c r="P10" s="10">
        <v>4</v>
      </c>
      <c r="Q10" s="10">
        <v>4</v>
      </c>
      <c r="R10" s="11">
        <v>4</v>
      </c>
    </row>
    <row r="11" spans="2:18">
      <c r="B11" s="4"/>
      <c r="C11">
        <v>2.0499999999999998</v>
      </c>
      <c r="E11" s="5"/>
      <c r="H11" s="120"/>
      <c r="I11" s="10">
        <v>3.05</v>
      </c>
      <c r="J11" s="10">
        <v>2</v>
      </c>
      <c r="K11" s="10">
        <v>1</v>
      </c>
      <c r="L11" s="10">
        <v>1</v>
      </c>
      <c r="M11" s="10">
        <v>2</v>
      </c>
      <c r="N11" s="10">
        <v>2</v>
      </c>
      <c r="O11" s="10">
        <v>1</v>
      </c>
      <c r="P11" s="10">
        <v>2</v>
      </c>
      <c r="Q11" s="10">
        <v>2</v>
      </c>
      <c r="R11" s="11">
        <v>2</v>
      </c>
    </row>
    <row r="12" spans="2:18">
      <c r="B12" s="4" t="s">
        <v>123</v>
      </c>
      <c r="C12">
        <v>3.01</v>
      </c>
      <c r="D12" s="129" t="s">
        <v>148</v>
      </c>
      <c r="E12" s="130"/>
      <c r="H12" s="118" t="s">
        <v>149</v>
      </c>
      <c r="I12" s="119"/>
      <c r="J12" s="119"/>
      <c r="K12" s="119"/>
      <c r="L12" s="119"/>
      <c r="M12" s="119"/>
      <c r="N12" s="119"/>
      <c r="O12" s="119"/>
      <c r="P12" s="119"/>
      <c r="Q12" s="119"/>
      <c r="R12" s="122"/>
    </row>
    <row r="13" spans="2:18">
      <c r="B13" s="4" t="s">
        <v>150</v>
      </c>
      <c r="C13">
        <v>3.02</v>
      </c>
      <c r="D13" s="131"/>
      <c r="E13" s="132"/>
      <c r="H13" s="4" t="s">
        <v>151</v>
      </c>
      <c r="I13" s="10">
        <v>2.0499999999999998</v>
      </c>
      <c r="J13" s="10" t="s">
        <v>18</v>
      </c>
      <c r="K13" s="10" t="s">
        <v>152</v>
      </c>
      <c r="L13" s="10" t="s">
        <v>153</v>
      </c>
      <c r="M13" s="119"/>
      <c r="N13" s="119"/>
      <c r="O13" s="119"/>
      <c r="P13" s="119"/>
      <c r="Q13" s="119"/>
      <c r="R13" s="122"/>
    </row>
    <row r="14" spans="2:18">
      <c r="B14" s="4" t="s">
        <v>121</v>
      </c>
      <c r="C14">
        <v>3.03</v>
      </c>
      <c r="D14" s="131"/>
      <c r="E14" s="132"/>
      <c r="H14" s="120" t="s">
        <v>147</v>
      </c>
      <c r="I14" s="10">
        <v>3.01</v>
      </c>
      <c r="J14" s="10">
        <v>-1</v>
      </c>
      <c r="K14" s="10">
        <v>0</v>
      </c>
      <c r="L14" s="10">
        <v>-2</v>
      </c>
      <c r="M14" s="119"/>
      <c r="N14" s="119"/>
      <c r="O14" s="119"/>
      <c r="P14" s="119"/>
      <c r="Q14" s="119"/>
      <c r="R14" s="122"/>
    </row>
    <row r="15" spans="2:18" ht="15.95" thickBot="1">
      <c r="B15" s="4" t="s">
        <v>150</v>
      </c>
      <c r="C15">
        <v>3.04</v>
      </c>
      <c r="D15" s="131"/>
      <c r="E15" s="132"/>
      <c r="H15" s="121"/>
      <c r="I15" s="13" t="s">
        <v>154</v>
      </c>
      <c r="J15" s="13">
        <v>0</v>
      </c>
      <c r="K15" s="13">
        <v>0</v>
      </c>
      <c r="L15" s="13">
        <v>0</v>
      </c>
      <c r="M15" s="123"/>
      <c r="N15" s="123"/>
      <c r="O15" s="123"/>
      <c r="P15" s="123"/>
      <c r="Q15" s="123"/>
      <c r="R15" s="124"/>
    </row>
    <row r="16" spans="2:18">
      <c r="B16" s="4" t="s">
        <v>123</v>
      </c>
      <c r="C16">
        <v>3.05</v>
      </c>
      <c r="D16" s="133"/>
      <c r="E16" s="134"/>
    </row>
    <row r="17" spans="2:11">
      <c r="B17" s="4" t="s">
        <v>155</v>
      </c>
      <c r="C17">
        <v>4.01</v>
      </c>
      <c r="D17">
        <v>0</v>
      </c>
      <c r="E17" s="5">
        <v>1</v>
      </c>
    </row>
    <row r="18" spans="2:11" ht="15.95" thickBot="1">
      <c r="B18" s="4" t="s">
        <v>123</v>
      </c>
      <c r="C18">
        <v>4.0199999999999996</v>
      </c>
      <c r="D18">
        <v>0</v>
      </c>
      <c r="E18" s="5">
        <v>1</v>
      </c>
    </row>
    <row r="19" spans="2:11">
      <c r="B19" s="4" t="s">
        <v>123</v>
      </c>
      <c r="C19">
        <v>4.03</v>
      </c>
      <c r="D19">
        <v>0</v>
      </c>
      <c r="E19" s="5">
        <v>1</v>
      </c>
      <c r="H19" s="115" t="s">
        <v>156</v>
      </c>
      <c r="I19" s="116"/>
      <c r="J19" s="116"/>
      <c r="K19" s="117"/>
    </row>
    <row r="20" spans="2:11">
      <c r="B20" s="4" t="s">
        <v>121</v>
      </c>
      <c r="C20">
        <v>4.04</v>
      </c>
      <c r="D20">
        <v>-1</v>
      </c>
      <c r="E20" s="5">
        <v>1</v>
      </c>
      <c r="H20" s="4" t="s">
        <v>157</v>
      </c>
      <c r="I20" s="12">
        <v>1</v>
      </c>
      <c r="J20" s="12">
        <v>2</v>
      </c>
      <c r="K20" s="9">
        <v>4</v>
      </c>
    </row>
    <row r="21" spans="2:11" ht="15.95" thickBot="1">
      <c r="B21" s="4" t="s">
        <v>123</v>
      </c>
      <c r="C21">
        <v>4.05</v>
      </c>
      <c r="D21">
        <v>0</v>
      </c>
      <c r="E21" s="5">
        <v>1</v>
      </c>
      <c r="H21" s="6" t="s">
        <v>6</v>
      </c>
      <c r="I21" s="14">
        <v>1</v>
      </c>
      <c r="J21" s="14">
        <v>0</v>
      </c>
      <c r="K21" s="15">
        <v>-1</v>
      </c>
    </row>
    <row r="22" spans="2:11">
      <c r="B22" s="4" t="s">
        <v>123</v>
      </c>
      <c r="C22">
        <v>4.0599999999999996</v>
      </c>
      <c r="D22">
        <v>0</v>
      </c>
      <c r="E22" s="5">
        <v>1</v>
      </c>
    </row>
    <row r="23" spans="2:11">
      <c r="B23" s="4" t="s">
        <v>123</v>
      </c>
      <c r="C23">
        <v>4.07</v>
      </c>
      <c r="D23">
        <v>0</v>
      </c>
      <c r="E23" s="5">
        <v>1</v>
      </c>
    </row>
    <row r="24" spans="2:11" ht="15.95" thickBot="1">
      <c r="B24" s="4" t="s">
        <v>150</v>
      </c>
      <c r="C24">
        <v>4.08</v>
      </c>
      <c r="D24">
        <v>0</v>
      </c>
      <c r="E24" s="5">
        <v>1</v>
      </c>
    </row>
    <row r="25" spans="2:11">
      <c r="B25" s="4" t="s">
        <v>150</v>
      </c>
      <c r="C25">
        <v>4.09</v>
      </c>
      <c r="D25">
        <v>0</v>
      </c>
      <c r="E25" s="5">
        <v>1</v>
      </c>
      <c r="H25" s="139" t="s">
        <v>158</v>
      </c>
      <c r="I25" s="140"/>
      <c r="J25" s="140"/>
      <c r="K25" s="141"/>
    </row>
    <row r="26" spans="2:11">
      <c r="B26" s="4" t="s">
        <v>150</v>
      </c>
      <c r="C26">
        <v>4.0999999999999996</v>
      </c>
      <c r="D26">
        <v>0</v>
      </c>
      <c r="E26" s="5">
        <v>1</v>
      </c>
      <c r="H26" s="95" t="s">
        <v>159</v>
      </c>
      <c r="I26" s="150" t="str">
        <f>IF(OR('WRA Worksheet'!C65="?",'WRA Worksheet'!C66="?",'WRA Worksheet'!C67="?",'WRA Worksheet'!C67="no"),"eval.",IF(AND('WRA Worksheet'!C65="yes",'WRA Worksheet'!C66="yes",'WRA Worksheet'!C67="yes"),"reject",IF(OR('WRA Worksheet'!C65="no",'WRA Worksheet'!C66="no"),"accept","")))</f>
        <v/>
      </c>
      <c r="J26" s="150"/>
      <c r="K26" s="151"/>
    </row>
    <row r="27" spans="2:11" ht="15.95" thickBot="1">
      <c r="B27" s="4" t="s">
        <v>150</v>
      </c>
      <c r="C27">
        <v>4.1100000000000003</v>
      </c>
      <c r="D27">
        <v>0</v>
      </c>
      <c r="E27" s="5">
        <v>1</v>
      </c>
      <c r="H27" s="96" t="s">
        <v>160</v>
      </c>
      <c r="I27" s="152" t="str">
        <f>IF('WRA Worksheet'!C68="no","accept",IF(AND('WRA Worksheet'!C68="yes",OR('WRA Worksheet'!C69="yes",'WRA Worksheet'!C70="yes")),"reject",IF(OR('WRA Worksheet'!C68="?",'WRA Worksheet'!C69="?",'WRA Worksheet'!C70="?",'WRA Worksheet'!C69="no",'WRA Worksheet'!C70="no"),"eval.","")))</f>
        <v/>
      </c>
      <c r="J27" s="152"/>
      <c r="K27" s="153"/>
    </row>
    <row r="28" spans="2:11">
      <c r="B28" s="4" t="s">
        <v>123</v>
      </c>
      <c r="C28">
        <v>4.12</v>
      </c>
      <c r="D28">
        <v>0</v>
      </c>
      <c r="E28" s="5">
        <v>1</v>
      </c>
    </row>
    <row r="29" spans="2:11">
      <c r="B29" s="4" t="s">
        <v>161</v>
      </c>
      <c r="C29">
        <v>5.01</v>
      </c>
      <c r="D29">
        <v>0</v>
      </c>
      <c r="E29" s="5">
        <v>5</v>
      </c>
    </row>
    <row r="30" spans="2:11">
      <c r="B30" s="4" t="s">
        <v>123</v>
      </c>
      <c r="C30">
        <v>5.0199999999999996</v>
      </c>
      <c r="D30">
        <v>0</v>
      </c>
      <c r="E30" s="5">
        <v>1</v>
      </c>
    </row>
    <row r="31" spans="2:11">
      <c r="B31" s="4" t="s">
        <v>150</v>
      </c>
      <c r="C31">
        <v>5.03</v>
      </c>
      <c r="D31">
        <v>0</v>
      </c>
      <c r="E31" s="5">
        <v>1</v>
      </c>
    </row>
    <row r="32" spans="2:11">
      <c r="B32" s="4" t="s">
        <v>123</v>
      </c>
      <c r="C32">
        <v>5.04</v>
      </c>
      <c r="D32">
        <v>0</v>
      </c>
      <c r="E32" s="5">
        <v>1</v>
      </c>
    </row>
    <row r="33" spans="2:5">
      <c r="B33" s="4" t="s">
        <v>123</v>
      </c>
      <c r="C33">
        <v>6.01</v>
      </c>
      <c r="D33">
        <v>0</v>
      </c>
      <c r="E33" s="5">
        <v>1</v>
      </c>
    </row>
    <row r="34" spans="2:5">
      <c r="B34" s="4" t="s">
        <v>123</v>
      </c>
      <c r="C34">
        <v>6.02</v>
      </c>
      <c r="D34">
        <v>-1</v>
      </c>
      <c r="E34" s="5">
        <v>1</v>
      </c>
    </row>
    <row r="35" spans="2:5">
      <c r="B35" s="4" t="s">
        <v>121</v>
      </c>
      <c r="C35">
        <v>6.03</v>
      </c>
      <c r="D35">
        <v>-1</v>
      </c>
      <c r="E35" s="5">
        <v>1</v>
      </c>
    </row>
    <row r="36" spans="2:5">
      <c r="B36" s="4" t="s">
        <v>123</v>
      </c>
      <c r="C36">
        <v>6.04</v>
      </c>
      <c r="D36">
        <v>-1</v>
      </c>
      <c r="E36" s="5">
        <v>1</v>
      </c>
    </row>
    <row r="37" spans="2:5">
      <c r="B37" s="4" t="s">
        <v>123</v>
      </c>
      <c r="C37">
        <v>6.05</v>
      </c>
      <c r="D37">
        <v>0</v>
      </c>
      <c r="E37" s="5">
        <v>-1</v>
      </c>
    </row>
    <row r="38" spans="2:5">
      <c r="B38" s="4" t="s">
        <v>121</v>
      </c>
      <c r="C38">
        <v>6.06</v>
      </c>
      <c r="D38">
        <v>-1</v>
      </c>
      <c r="E38" s="5">
        <v>1</v>
      </c>
    </row>
    <row r="39" spans="2:5">
      <c r="B39" s="4" t="s">
        <v>123</v>
      </c>
      <c r="C39">
        <v>6.07</v>
      </c>
      <c r="D39" s="135" t="s">
        <v>162</v>
      </c>
      <c r="E39" s="136"/>
    </row>
    <row r="40" spans="2:5">
      <c r="B40" s="4" t="s">
        <v>121</v>
      </c>
      <c r="C40">
        <v>7.01</v>
      </c>
      <c r="D40">
        <v>-1</v>
      </c>
      <c r="E40" s="5">
        <v>1</v>
      </c>
    </row>
    <row r="41" spans="2:5">
      <c r="B41" s="4" t="s">
        <v>123</v>
      </c>
      <c r="C41">
        <v>7.02</v>
      </c>
      <c r="D41">
        <v>-1</v>
      </c>
      <c r="E41" s="5">
        <v>1</v>
      </c>
    </row>
    <row r="42" spans="2:5">
      <c r="B42" s="4" t="s">
        <v>121</v>
      </c>
      <c r="C42">
        <v>7.03</v>
      </c>
      <c r="D42">
        <v>-1</v>
      </c>
      <c r="E42" s="5">
        <v>1</v>
      </c>
    </row>
    <row r="43" spans="2:5">
      <c r="B43" s="4" t="s">
        <v>123</v>
      </c>
      <c r="C43">
        <v>7.04</v>
      </c>
      <c r="D43">
        <v>-1</v>
      </c>
      <c r="E43" s="5">
        <v>1</v>
      </c>
    </row>
    <row r="44" spans="2:5">
      <c r="B44" s="4" t="s">
        <v>150</v>
      </c>
      <c r="C44">
        <v>7.05</v>
      </c>
      <c r="D44">
        <v>-1</v>
      </c>
      <c r="E44" s="5">
        <v>1</v>
      </c>
    </row>
    <row r="45" spans="2:5">
      <c r="B45" s="4" t="s">
        <v>150</v>
      </c>
      <c r="C45">
        <v>7.06</v>
      </c>
      <c r="D45">
        <v>-1</v>
      </c>
      <c r="E45" s="5">
        <v>1</v>
      </c>
    </row>
    <row r="46" spans="2:5">
      <c r="B46" s="4" t="s">
        <v>123</v>
      </c>
      <c r="C46">
        <v>7.07</v>
      </c>
      <c r="D46">
        <v>-1</v>
      </c>
      <c r="E46" s="5">
        <v>1</v>
      </c>
    </row>
    <row r="47" spans="2:5">
      <c r="B47" s="4" t="s">
        <v>123</v>
      </c>
      <c r="C47">
        <v>7.08</v>
      </c>
      <c r="D47">
        <v>-1</v>
      </c>
      <c r="E47" s="5">
        <v>1</v>
      </c>
    </row>
    <row r="48" spans="2:5">
      <c r="B48" s="4" t="s">
        <v>123</v>
      </c>
      <c r="C48">
        <v>8.01</v>
      </c>
      <c r="D48">
        <v>-1</v>
      </c>
      <c r="E48" s="5">
        <v>1</v>
      </c>
    </row>
    <row r="49" spans="2:5">
      <c r="B49" s="4" t="s">
        <v>123</v>
      </c>
      <c r="C49">
        <v>8.02</v>
      </c>
      <c r="D49">
        <v>-1</v>
      </c>
      <c r="E49" s="5">
        <v>1</v>
      </c>
    </row>
    <row r="50" spans="2:5">
      <c r="B50" s="4" t="s">
        <v>121</v>
      </c>
      <c r="C50">
        <v>8.0299999999999994</v>
      </c>
      <c r="D50">
        <v>1</v>
      </c>
      <c r="E50" s="5">
        <v>-1</v>
      </c>
    </row>
    <row r="51" spans="2:5">
      <c r="B51" s="4" t="s">
        <v>121</v>
      </c>
      <c r="C51">
        <v>8.0399999999999991</v>
      </c>
      <c r="D51">
        <v>-1</v>
      </c>
      <c r="E51" s="5">
        <v>1</v>
      </c>
    </row>
    <row r="52" spans="2:5">
      <c r="B52" s="4" t="s">
        <v>123</v>
      </c>
      <c r="C52">
        <v>8.0500000000000007</v>
      </c>
      <c r="D52">
        <v>1</v>
      </c>
      <c r="E52" s="5">
        <v>-1</v>
      </c>
    </row>
    <row r="53" spans="2:5">
      <c r="B53" s="4"/>
      <c r="E53" s="5"/>
    </row>
    <row r="54" spans="2:5" ht="15.95" thickBot="1">
      <c r="B54" s="6"/>
      <c r="C54" s="7"/>
      <c r="D54" s="7"/>
      <c r="E54" s="8"/>
    </row>
  </sheetData>
  <sheetProtection algorithmName="SHA-512" hashValue="0mtPXeV4RFX+M/sGdOGKeuK5NWlJbk/75EF/Z/DHrnEM9OlRwDreGoshUwzHDRLvA3A9Y2G+zbNh26ykXbCpNg==" saltValue="1/xWeOpxhY5vxCpyg9dG1A==" spinCount="100000" sheet="1" objects="1" scenarios="1"/>
  <mergeCells count="15">
    <mergeCell ref="D7:E8"/>
    <mergeCell ref="D12:E16"/>
    <mergeCell ref="D39:E39"/>
    <mergeCell ref="H3:R3"/>
    <mergeCell ref="H4:Q4"/>
    <mergeCell ref="H5:H6"/>
    <mergeCell ref="H7:H11"/>
    <mergeCell ref="H25:K25"/>
    <mergeCell ref="I26:K26"/>
    <mergeCell ref="I27:K27"/>
    <mergeCell ref="H2:R2"/>
    <mergeCell ref="H12:L12"/>
    <mergeCell ref="H14:H15"/>
    <mergeCell ref="M12:R15"/>
    <mergeCell ref="H19:K1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9724D-15DB-4E0F-87F1-EE2DC5DF0787}">
  <dimension ref="A1:D61"/>
  <sheetViews>
    <sheetView workbookViewId="0">
      <selection activeCell="G1" sqref="G1"/>
    </sheetView>
  </sheetViews>
  <sheetFormatPr defaultColWidth="8.85546875" defaultRowHeight="15"/>
  <cols>
    <col min="1" max="1" width="7.140625" customWidth="1"/>
    <col min="2" max="2" width="64.42578125" customWidth="1"/>
  </cols>
  <sheetData>
    <row r="1" spans="1:4" ht="109.5" customHeight="1">
      <c r="A1" s="145" t="str">
        <f>'WRA Worksheet'!F1</f>
        <v>Assessment date: 21 November 2025 Prepared by Cameron Deelstra</v>
      </c>
      <c r="B1" s="146"/>
      <c r="C1" s="146"/>
      <c r="D1" s="98" t="s">
        <v>163</v>
      </c>
    </row>
    <row r="2" spans="1:4" ht="18.95">
      <c r="A2" s="142" t="s">
        <v>164</v>
      </c>
      <c r="B2" s="143"/>
      <c r="C2" s="73" t="s">
        <v>5</v>
      </c>
      <c r="D2" s="73" t="s">
        <v>6</v>
      </c>
    </row>
    <row r="3" spans="1:4" ht="15.95">
      <c r="A3" s="74">
        <v>1.01</v>
      </c>
      <c r="B3" s="75" t="s">
        <v>10</v>
      </c>
      <c r="C3" s="76" t="str">
        <f>'WRA Worksheet'!C3</f>
        <v>n</v>
      </c>
      <c r="D3" s="82">
        <f>'WRA Worksheet'!D3</f>
        <v>0</v>
      </c>
    </row>
    <row r="4" spans="1:4" ht="15.95">
      <c r="A4" s="74">
        <v>1.02</v>
      </c>
      <c r="B4" s="75" t="s">
        <v>12</v>
      </c>
      <c r="C4" s="76">
        <f>'WRA Worksheet'!C4</f>
        <v>0</v>
      </c>
      <c r="D4" s="82" t="str">
        <f>'WRA Worksheet'!D4</f>
        <v xml:space="preserve"> </v>
      </c>
    </row>
    <row r="5" spans="1:4" ht="15.95">
      <c r="A5" s="74">
        <v>1.03</v>
      </c>
      <c r="B5" s="75" t="s">
        <v>13</v>
      </c>
      <c r="C5" s="76">
        <f>'WRA Worksheet'!C5</f>
        <v>0</v>
      </c>
      <c r="D5" s="82" t="str">
        <f>'WRA Worksheet'!D5</f>
        <v xml:space="preserve"> </v>
      </c>
    </row>
    <row r="6" spans="1:4" ht="51.95">
      <c r="A6" s="74">
        <v>2.0099999999999998</v>
      </c>
      <c r="B6" s="77" t="s">
        <v>165</v>
      </c>
      <c r="C6" s="76">
        <f>'WRA Worksheet'!C6</f>
        <v>2</v>
      </c>
      <c r="D6" s="83"/>
    </row>
    <row r="7" spans="1:4" ht="15.95">
      <c r="A7" s="74">
        <v>2.02</v>
      </c>
      <c r="B7" s="75" t="s">
        <v>166</v>
      </c>
      <c r="C7" s="76" t="str">
        <f>'WRA Worksheet'!C7</f>
        <v>?</v>
      </c>
      <c r="D7" s="83"/>
    </row>
    <row r="8" spans="1:4" ht="15.95">
      <c r="A8" s="74">
        <v>2.0299999999999998</v>
      </c>
      <c r="B8" s="75" t="s">
        <v>20</v>
      </c>
      <c r="C8" s="76" t="str">
        <f>'WRA Worksheet'!C8</f>
        <v>n</v>
      </c>
      <c r="D8" s="82">
        <f>'WRA Worksheet'!D8</f>
        <v>0</v>
      </c>
    </row>
    <row r="9" spans="1:4" ht="51.95">
      <c r="A9" s="74">
        <v>2.04</v>
      </c>
      <c r="B9" s="78" t="s">
        <v>23</v>
      </c>
      <c r="C9" s="76" t="str">
        <f>'WRA Worksheet'!C9</f>
        <v>y</v>
      </c>
      <c r="D9" s="82">
        <f>'WRA Worksheet'!D9</f>
        <v>1</v>
      </c>
    </row>
    <row r="10" spans="1:4" ht="32.1">
      <c r="A10" s="74">
        <v>2.0499999999999998</v>
      </c>
      <c r="B10" s="75" t="s">
        <v>27</v>
      </c>
      <c r="C10" s="79" t="str">
        <f>'WRA Worksheet'!C10</f>
        <v>y</v>
      </c>
      <c r="D10" s="83"/>
    </row>
    <row r="11" spans="1:4" ht="15.95">
      <c r="A11" s="74">
        <v>3.01</v>
      </c>
      <c r="B11" s="75" t="s">
        <v>30</v>
      </c>
      <c r="C11" s="76" t="str">
        <f>'WRA Worksheet'!C11</f>
        <v>n</v>
      </c>
      <c r="D11" s="82">
        <f>'WRA Worksheet'!D11</f>
        <v>-2</v>
      </c>
    </row>
    <row r="12" spans="1:4" ht="15.95">
      <c r="A12" s="74">
        <v>3.02</v>
      </c>
      <c r="B12" s="75" t="s">
        <v>33</v>
      </c>
      <c r="C12" s="76" t="str">
        <f>'WRA Worksheet'!C12</f>
        <v>n</v>
      </c>
      <c r="D12" s="82">
        <f>'WRA Worksheet'!D12</f>
        <v>0</v>
      </c>
    </row>
    <row r="13" spans="1:4" ht="15.95">
      <c r="A13" s="74">
        <v>3.03</v>
      </c>
      <c r="B13" s="75" t="s">
        <v>35</v>
      </c>
      <c r="C13" s="76" t="str">
        <f>'WRA Worksheet'!C13</f>
        <v>n</v>
      </c>
      <c r="D13" s="82">
        <f>'WRA Worksheet'!D13</f>
        <v>0</v>
      </c>
    </row>
    <row r="14" spans="1:4" ht="15.95">
      <c r="A14" s="74">
        <v>3.04</v>
      </c>
      <c r="B14" s="75" t="s">
        <v>36</v>
      </c>
      <c r="C14" s="76" t="str">
        <f>'WRA Worksheet'!C14</f>
        <v>n</v>
      </c>
      <c r="D14" s="82">
        <f>'WRA Worksheet'!D14</f>
        <v>0</v>
      </c>
    </row>
    <row r="15" spans="1:4" ht="15.95">
      <c r="A15" s="74">
        <v>3.05</v>
      </c>
      <c r="B15" s="75" t="s">
        <v>37</v>
      </c>
      <c r="C15" s="76" t="str">
        <f>'WRA Worksheet'!C15</f>
        <v>y</v>
      </c>
      <c r="D15" s="82" t="str">
        <f>'WRA Worksheet'!D15</f>
        <v/>
      </c>
    </row>
    <row r="16" spans="1:4" ht="15.95">
      <c r="A16" s="74">
        <v>4.01</v>
      </c>
      <c r="B16" s="75" t="s">
        <v>40</v>
      </c>
      <c r="C16" s="76" t="str">
        <f>'WRA Worksheet'!C16</f>
        <v>n</v>
      </c>
      <c r="D16" s="82">
        <f>'WRA Worksheet'!D16</f>
        <v>0</v>
      </c>
    </row>
    <row r="17" spans="1:4" ht="15.95">
      <c r="A17" s="74">
        <v>4.0199999999999996</v>
      </c>
      <c r="B17" s="75" t="s">
        <v>41</v>
      </c>
      <c r="C17" s="76" t="str">
        <f>'WRA Worksheet'!C17</f>
        <v>?</v>
      </c>
      <c r="D17" s="82" t="str">
        <f>'WRA Worksheet'!D17</f>
        <v xml:space="preserve"> </v>
      </c>
    </row>
    <row r="18" spans="1:4" ht="15.95">
      <c r="A18" s="74">
        <v>4.03</v>
      </c>
      <c r="B18" s="75" t="s">
        <v>44</v>
      </c>
      <c r="C18" s="76" t="str">
        <f>'WRA Worksheet'!C18</f>
        <v>n</v>
      </c>
      <c r="D18" s="82">
        <f>'WRA Worksheet'!D18</f>
        <v>0</v>
      </c>
    </row>
    <row r="19" spans="1:4" ht="15.95">
      <c r="A19" s="74">
        <v>4.04</v>
      </c>
      <c r="B19" s="75" t="s">
        <v>45</v>
      </c>
      <c r="C19" s="76" t="str">
        <f>'WRA Worksheet'!C19</f>
        <v>?</v>
      </c>
      <c r="D19" s="82" t="str">
        <f>'WRA Worksheet'!D19</f>
        <v xml:space="preserve"> </v>
      </c>
    </row>
    <row r="20" spans="1:4" ht="15.95">
      <c r="A20" s="74">
        <v>4.05</v>
      </c>
      <c r="B20" s="75" t="s">
        <v>47</v>
      </c>
      <c r="C20" s="76" t="str">
        <f>'WRA Worksheet'!C20</f>
        <v>y</v>
      </c>
      <c r="D20" s="82">
        <f>'WRA Worksheet'!D20</f>
        <v>1</v>
      </c>
    </row>
    <row r="21" spans="1:4" ht="15.95">
      <c r="A21" s="74">
        <v>4.0599999999999996</v>
      </c>
      <c r="B21" s="75" t="s">
        <v>50</v>
      </c>
      <c r="C21" s="76" t="str">
        <f>'WRA Worksheet'!C21</f>
        <v>n</v>
      </c>
      <c r="D21" s="82">
        <f>'WRA Worksheet'!D21</f>
        <v>0</v>
      </c>
    </row>
    <row r="22" spans="1:4" ht="15.95">
      <c r="A22" s="74">
        <v>4.07</v>
      </c>
      <c r="B22" s="75" t="s">
        <v>51</v>
      </c>
      <c r="C22" s="76" t="str">
        <f>'WRA Worksheet'!C22</f>
        <v>y</v>
      </c>
      <c r="D22" s="82">
        <f>'WRA Worksheet'!D22</f>
        <v>1</v>
      </c>
    </row>
    <row r="23" spans="1:4" ht="15.95">
      <c r="A23" s="74">
        <v>4.08</v>
      </c>
      <c r="B23" s="75" t="s">
        <v>54</v>
      </c>
      <c r="C23" s="76" t="str">
        <f>'WRA Worksheet'!C23</f>
        <v>n</v>
      </c>
      <c r="D23" s="82">
        <f>'WRA Worksheet'!D23</f>
        <v>0</v>
      </c>
    </row>
    <row r="24" spans="1:4" ht="15.95">
      <c r="A24" s="74">
        <v>4.09</v>
      </c>
      <c r="B24" s="75" t="s">
        <v>55</v>
      </c>
      <c r="C24" s="76" t="str">
        <f>'WRA Worksheet'!C24</f>
        <v>n</v>
      </c>
      <c r="D24" s="82">
        <f>'WRA Worksheet'!D24</f>
        <v>0</v>
      </c>
    </row>
    <row r="25" spans="1:4" ht="32.1">
      <c r="A25" s="74">
        <v>4.0999999999999996</v>
      </c>
      <c r="B25" s="80" t="s">
        <v>58</v>
      </c>
      <c r="C25" s="76" t="str">
        <f>'WRA Worksheet'!C25</f>
        <v>n</v>
      </c>
      <c r="D25" s="82">
        <f>'WRA Worksheet'!D25</f>
        <v>0</v>
      </c>
    </row>
    <row r="26" spans="1:4" ht="15.95">
      <c r="A26" s="74">
        <v>4.1100000000000003</v>
      </c>
      <c r="B26" s="75" t="s">
        <v>61</v>
      </c>
      <c r="C26" s="76" t="str">
        <f>'WRA Worksheet'!C26</f>
        <v>n</v>
      </c>
      <c r="D26" s="82">
        <f>'WRA Worksheet'!D26</f>
        <v>0</v>
      </c>
    </row>
    <row r="27" spans="1:4" ht="15.95">
      <c r="A27" s="74">
        <v>4.12</v>
      </c>
      <c r="B27" s="75" t="s">
        <v>62</v>
      </c>
      <c r="C27" s="76" t="str">
        <f>'WRA Worksheet'!C27</f>
        <v>n</v>
      </c>
      <c r="D27" s="82">
        <f>'WRA Worksheet'!D27</f>
        <v>0</v>
      </c>
    </row>
    <row r="28" spans="1:4" ht="15.95">
      <c r="A28" s="74">
        <v>5.01</v>
      </c>
      <c r="B28" s="75" t="s">
        <v>63</v>
      </c>
      <c r="C28" s="76" t="str">
        <f>'WRA Worksheet'!C28</f>
        <v>n</v>
      </c>
      <c r="D28" s="82">
        <f>'WRA Worksheet'!D28</f>
        <v>0</v>
      </c>
    </row>
    <row r="29" spans="1:4" ht="15.95">
      <c r="A29" s="74">
        <v>5.0199999999999996</v>
      </c>
      <c r="B29" s="75" t="s">
        <v>65</v>
      </c>
      <c r="C29" s="76" t="str">
        <f>'WRA Worksheet'!C29</f>
        <v>n</v>
      </c>
      <c r="D29" s="82">
        <f>'WRA Worksheet'!D29</f>
        <v>0</v>
      </c>
    </row>
    <row r="30" spans="1:4" ht="15.95">
      <c r="A30" s="74">
        <v>5.03</v>
      </c>
      <c r="B30" s="75" t="s">
        <v>67</v>
      </c>
      <c r="C30" s="76" t="str">
        <f>'WRA Worksheet'!C30</f>
        <v>n</v>
      </c>
      <c r="D30" s="82">
        <f>'WRA Worksheet'!D30</f>
        <v>0</v>
      </c>
    </row>
    <row r="31" spans="1:4" ht="15.95">
      <c r="A31" s="74">
        <v>5.04</v>
      </c>
      <c r="B31" s="75" t="s">
        <v>68</v>
      </c>
      <c r="C31" s="76" t="str">
        <f>'WRA Worksheet'!C31</f>
        <v>n</v>
      </c>
      <c r="D31" s="82">
        <f>'WRA Worksheet'!D31</f>
        <v>0</v>
      </c>
    </row>
    <row r="32" spans="1:4" ht="15.95">
      <c r="A32" s="74">
        <v>6.01</v>
      </c>
      <c r="B32" s="75" t="s">
        <v>69</v>
      </c>
      <c r="C32" s="76" t="str">
        <f>'WRA Worksheet'!C32</f>
        <v>y</v>
      </c>
      <c r="D32" s="82">
        <f>'WRA Worksheet'!D32</f>
        <v>1</v>
      </c>
    </row>
    <row r="33" spans="1:4" ht="15.95">
      <c r="A33" s="74">
        <v>6.02</v>
      </c>
      <c r="B33" s="75" t="s">
        <v>72</v>
      </c>
      <c r="C33" s="76" t="str">
        <f>'WRA Worksheet'!C33</f>
        <v>y</v>
      </c>
      <c r="D33" s="82">
        <f>'WRA Worksheet'!D33</f>
        <v>1</v>
      </c>
    </row>
    <row r="34" spans="1:4" ht="15.95">
      <c r="A34" s="74">
        <v>6.03</v>
      </c>
      <c r="B34" s="75" t="s">
        <v>75</v>
      </c>
      <c r="C34" s="76" t="str">
        <f>'WRA Worksheet'!C34</f>
        <v>y</v>
      </c>
      <c r="D34" s="82">
        <f>'WRA Worksheet'!D34</f>
        <v>1</v>
      </c>
    </row>
    <row r="35" spans="1:4" ht="15.95">
      <c r="A35" s="74">
        <v>6.04</v>
      </c>
      <c r="B35" s="75" t="s">
        <v>78</v>
      </c>
      <c r="C35" s="76">
        <f>'WRA Worksheet'!C35</f>
        <v>0</v>
      </c>
      <c r="D35" s="82" t="str">
        <f>'WRA Worksheet'!D35</f>
        <v xml:space="preserve"> </v>
      </c>
    </row>
    <row r="36" spans="1:4" ht="15.95">
      <c r="A36" s="74">
        <v>6.05</v>
      </c>
      <c r="B36" s="75" t="s">
        <v>81</v>
      </c>
      <c r="C36" s="76" t="str">
        <f>'WRA Worksheet'!C36</f>
        <v>n</v>
      </c>
      <c r="D36" s="82">
        <f>'WRA Worksheet'!D36</f>
        <v>0</v>
      </c>
    </row>
    <row r="37" spans="1:4" ht="15.95">
      <c r="A37" s="74">
        <v>6.06</v>
      </c>
      <c r="B37" s="75" t="s">
        <v>82</v>
      </c>
      <c r="C37" s="76" t="str">
        <f>'WRA Worksheet'!C37</f>
        <v>?</v>
      </c>
      <c r="D37" s="82" t="str">
        <f>'WRA Worksheet'!D37</f>
        <v xml:space="preserve"> </v>
      </c>
    </row>
    <row r="38" spans="1:4" ht="15.95">
      <c r="A38" s="74">
        <v>6.07</v>
      </c>
      <c r="B38" s="75" t="s">
        <v>85</v>
      </c>
      <c r="C38" s="81" t="str">
        <f>'WRA Worksheet'!C38</f>
        <v>4 or more</v>
      </c>
      <c r="D38" s="82">
        <f>'WRA Worksheet'!D38</f>
        <v>-1</v>
      </c>
    </row>
    <row r="39" spans="1:4" ht="32.1">
      <c r="A39" s="74">
        <v>7.01</v>
      </c>
      <c r="B39" s="75" t="s">
        <v>88</v>
      </c>
      <c r="C39" s="76" t="str">
        <f>'WRA Worksheet'!C39</f>
        <v>n</v>
      </c>
      <c r="D39" s="82">
        <f>'WRA Worksheet'!D39</f>
        <v>-1</v>
      </c>
    </row>
    <row r="40" spans="1:4" ht="15.95">
      <c r="A40" s="74">
        <v>7.02</v>
      </c>
      <c r="B40" s="75" t="s">
        <v>89</v>
      </c>
      <c r="C40" s="76" t="str">
        <f>'WRA Worksheet'!C40</f>
        <v>y</v>
      </c>
      <c r="D40" s="82">
        <f>'WRA Worksheet'!D40</f>
        <v>1</v>
      </c>
    </row>
    <row r="41" spans="1:4" ht="15.95">
      <c r="A41" s="74">
        <v>7.03</v>
      </c>
      <c r="B41" s="75" t="s">
        <v>92</v>
      </c>
      <c r="C41" s="76" t="str">
        <f>'WRA Worksheet'!C41</f>
        <v>n</v>
      </c>
      <c r="D41" s="82">
        <f>'WRA Worksheet'!D41</f>
        <v>-1</v>
      </c>
    </row>
    <row r="42" spans="1:4" ht="15.95">
      <c r="A42" s="74">
        <v>7.04</v>
      </c>
      <c r="B42" s="75" t="s">
        <v>93</v>
      </c>
      <c r="C42" s="76" t="str">
        <f>'WRA Worksheet'!C42</f>
        <v>y</v>
      </c>
      <c r="D42" s="82">
        <f>'WRA Worksheet'!D42</f>
        <v>1</v>
      </c>
    </row>
    <row r="43" spans="1:4" ht="15.95">
      <c r="A43" s="74">
        <v>7.05</v>
      </c>
      <c r="B43" s="75" t="s">
        <v>96</v>
      </c>
      <c r="C43" s="76" t="str">
        <f>'WRA Worksheet'!C43</f>
        <v>y</v>
      </c>
      <c r="D43" s="82">
        <f>'WRA Worksheet'!D43</f>
        <v>1</v>
      </c>
    </row>
    <row r="44" spans="1:4" ht="15.95">
      <c r="A44" s="74">
        <v>7.06</v>
      </c>
      <c r="B44" s="75" t="s">
        <v>99</v>
      </c>
      <c r="C44" s="76" t="str">
        <f>'WRA Worksheet'!C44</f>
        <v>n</v>
      </c>
      <c r="D44" s="82">
        <f>'WRA Worksheet'!D44</f>
        <v>-1</v>
      </c>
    </row>
    <row r="45" spans="1:4" ht="15.95">
      <c r="A45" s="74">
        <v>7.07</v>
      </c>
      <c r="B45" s="75" t="s">
        <v>100</v>
      </c>
      <c r="C45" s="76" t="str">
        <f>'WRA Worksheet'!C45</f>
        <v>n</v>
      </c>
      <c r="D45" s="82">
        <f>'WRA Worksheet'!D45</f>
        <v>-1</v>
      </c>
    </row>
    <row r="46" spans="1:4" ht="15.95">
      <c r="A46" s="74">
        <v>7.08</v>
      </c>
      <c r="B46" s="75" t="s">
        <v>101</v>
      </c>
      <c r="C46" s="76" t="str">
        <f>'WRA Worksheet'!C46</f>
        <v>n</v>
      </c>
      <c r="D46" s="82">
        <f>'WRA Worksheet'!D46</f>
        <v>-1</v>
      </c>
    </row>
    <row r="47" spans="1:4" ht="15.95">
      <c r="A47" s="74">
        <v>8.01</v>
      </c>
      <c r="B47" s="75" t="s">
        <v>102</v>
      </c>
      <c r="C47" s="76" t="str">
        <f>'WRA Worksheet'!C47</f>
        <v>n</v>
      </c>
      <c r="D47" s="82">
        <f>'WRA Worksheet'!D47</f>
        <v>-1</v>
      </c>
    </row>
    <row r="48" spans="1:4" ht="15.95">
      <c r="A48" s="74">
        <v>8.02</v>
      </c>
      <c r="B48" s="75" t="s">
        <v>105</v>
      </c>
      <c r="C48" s="76" t="str">
        <f>'WRA Worksheet'!C48</f>
        <v>n</v>
      </c>
      <c r="D48" s="82">
        <f>'WRA Worksheet'!D48</f>
        <v>-1</v>
      </c>
    </row>
    <row r="49" spans="1:4" ht="15.95">
      <c r="A49" s="74">
        <v>8.0299999999999994</v>
      </c>
      <c r="B49" s="75" t="s">
        <v>108</v>
      </c>
      <c r="C49" s="76" t="str">
        <f>'WRA Worksheet'!C49</f>
        <v>y</v>
      </c>
      <c r="D49" s="82">
        <f>'WRA Worksheet'!D49</f>
        <v>-1</v>
      </c>
    </row>
    <row r="50" spans="1:4" ht="15.95">
      <c r="A50" s="74">
        <v>8.0399999999999991</v>
      </c>
      <c r="B50" s="75" t="s">
        <v>111</v>
      </c>
      <c r="C50" s="76" t="str">
        <f>'WRA Worksheet'!C50</f>
        <v>y</v>
      </c>
      <c r="D50" s="82">
        <f>'WRA Worksheet'!D50</f>
        <v>1</v>
      </c>
    </row>
    <row r="51" spans="1:4" ht="15.95">
      <c r="A51" s="74">
        <v>8.0500000000000007</v>
      </c>
      <c r="B51" s="67" t="s">
        <v>114</v>
      </c>
      <c r="C51" s="76" t="str">
        <f>'WRA Worksheet'!C51</f>
        <v>?</v>
      </c>
      <c r="D51" s="82" t="str">
        <f>'WRA Worksheet'!D51</f>
        <v xml:space="preserve"> </v>
      </c>
    </row>
    <row r="52" spans="1:4" ht="15.95">
      <c r="A52" s="31"/>
      <c r="B52" s="32" t="s">
        <v>116</v>
      </c>
      <c r="C52" s="144">
        <f>'WRA Worksheet'!D53</f>
        <v>-1</v>
      </c>
      <c r="D52" s="144"/>
    </row>
    <row r="53" spans="1:4" ht="15.95">
      <c r="A53" s="33"/>
      <c r="B53" s="34" t="s">
        <v>167</v>
      </c>
      <c r="C53" s="144" t="str" cm="1">
        <f t="array" ref="C53">IF(OR('WRA Worksheet'!C71:D71="yes", 'WRA Worksheet'!C72:D72="yes", 'WRA Worksheet'!C73:D73="yes"),"yes","no")</f>
        <v>no</v>
      </c>
      <c r="D53" s="144"/>
    </row>
    <row r="54" spans="1:4" ht="15.95">
      <c r="A54" s="33"/>
      <c r="B54" s="34" t="s">
        <v>168</v>
      </c>
      <c r="C54" s="144" t="str">
        <f>IF(C53="yes", 'WRA Worksheet'!C74, 'WRA Worksheet'!D54)</f>
        <v>accept</v>
      </c>
      <c r="D54" s="144"/>
    </row>
    <row r="55" spans="1:4" ht="15.95" thickBot="1">
      <c r="A55" s="35"/>
      <c r="B55" s="36"/>
      <c r="C55" s="36"/>
      <c r="D55" s="37"/>
    </row>
    <row r="56" spans="1:4" ht="30.95" thickTop="1">
      <c r="A56" s="38" t="s">
        <v>169</v>
      </c>
      <c r="B56" s="39" t="s">
        <v>170</v>
      </c>
      <c r="C56" s="40" t="s">
        <v>120</v>
      </c>
      <c r="D56" s="37"/>
    </row>
    <row r="57" spans="1:4">
      <c r="A57" s="41" t="s">
        <v>121</v>
      </c>
      <c r="B57" s="42">
        <f>'WRA Worksheet'!C57</f>
        <v>10</v>
      </c>
      <c r="C57" s="43" t="str">
        <f>IF(B57&gt;=2,"yes","no")</f>
        <v>yes</v>
      </c>
      <c r="D57" s="37"/>
    </row>
    <row r="58" spans="1:4">
      <c r="A58" s="41" t="s">
        <v>122</v>
      </c>
      <c r="B58" s="42">
        <f>'WRA Worksheet'!C58</f>
        <v>10</v>
      </c>
      <c r="C58" s="43" t="str">
        <f>IF(B58&gt;=2,"yes","no")</f>
        <v>yes</v>
      </c>
      <c r="D58" s="37"/>
    </row>
    <row r="59" spans="1:4">
      <c r="A59" s="41" t="s">
        <v>123</v>
      </c>
      <c r="B59" s="42">
        <f>'WRA Worksheet'!C59</f>
        <v>20</v>
      </c>
      <c r="C59" s="43" t="str">
        <f>IF(B59&gt;=6,"yes","no")</f>
        <v>yes</v>
      </c>
      <c r="D59" s="37"/>
    </row>
    <row r="60" spans="1:4" ht="15.95" thickBot="1">
      <c r="A60" s="44" t="s">
        <v>124</v>
      </c>
      <c r="B60" s="45">
        <f>'WRA Worksheet'!C60</f>
        <v>40</v>
      </c>
      <c r="C60" s="46" t="str">
        <f>IF(C57="no","no",IF(C58="no","no",IF(C59="no","no","yes")))</f>
        <v>yes</v>
      </c>
      <c r="D60" s="37"/>
    </row>
    <row r="61" spans="1:4" ht="15.95" thickTop="1"/>
  </sheetData>
  <sheetProtection algorithmName="SHA-512" hashValue="OUPP6/JLKjaOreRnDsqedMxLQ5QXL0Eh+Rws3VhK3vD2Gyo6l4J6cu1Tr5oxN4ZoMbAZCxsipXqLcQtAUkOMKQ==" saltValue="SQl0PRYgekQzaekw/tcing==" spinCount="100000" sheet="1" objects="1" scenarios="1" formatCells="0"/>
  <mergeCells count="5">
    <mergeCell ref="A2:B2"/>
    <mergeCell ref="C52:D52"/>
    <mergeCell ref="C53:D53"/>
    <mergeCell ref="C54:D54"/>
    <mergeCell ref="A1:C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3A353-381C-4CCD-9F7C-6233287381B8}">
  <sheetPr>
    <tabColor theme="0"/>
  </sheetPr>
  <dimension ref="A1:C50"/>
  <sheetViews>
    <sheetView workbookViewId="0">
      <selection activeCell="C15" sqref="C15"/>
    </sheetView>
  </sheetViews>
  <sheetFormatPr defaultColWidth="8.85546875" defaultRowHeight="15"/>
  <cols>
    <col min="1" max="1" width="5" customWidth="1"/>
    <col min="2" max="3" width="49.42578125" customWidth="1"/>
  </cols>
  <sheetData>
    <row r="1" spans="1:3" ht="28.5" customHeight="1">
      <c r="A1" s="47"/>
      <c r="B1" s="48" t="s">
        <v>8</v>
      </c>
      <c r="C1" s="49" t="s">
        <v>9</v>
      </c>
    </row>
    <row r="2" spans="1:3">
      <c r="A2" s="30">
        <v>1.01</v>
      </c>
      <c r="B2" s="50" cm="1">
        <f t="array" ref="B2:C50">'WRA Worksheet'!F3:G51</f>
        <v>0</v>
      </c>
      <c r="C2" s="51">
        <v>0</v>
      </c>
    </row>
    <row r="3" spans="1:3">
      <c r="A3" s="30">
        <v>1.02</v>
      </c>
      <c r="B3" s="50">
        <v>0</v>
      </c>
      <c r="C3" s="50">
        <v>0</v>
      </c>
    </row>
    <row r="4" spans="1:3">
      <c r="A4" s="30">
        <v>1.03</v>
      </c>
      <c r="B4" s="50">
        <v>0</v>
      </c>
      <c r="C4" s="50">
        <v>0</v>
      </c>
    </row>
    <row r="5" spans="1:3" ht="32.1">
      <c r="A5" s="30">
        <v>2.0099999999999998</v>
      </c>
      <c r="B5" s="52" t="str">
        <v xml:space="preserve">No computer analysis was performed. 
1. Global plant hardiness zones (8?-)9-10; equivalent to USDA Hardiness zones (8?-)9-10. 
2. Restricted distribution in coastal New South Wales, south-west of Sydney on the flats of the Nepean River and its tributaries between Wallacia and Camden. Another larger population is on Kedumba Creek  (about 5 km upstream from the junction with the old Coxs River). 
3.a. Occurring on the alluvial floodplains of the Nepean River and its tributaries, south-west of Sydney, Australia. 
3.b. Species is now confined to one population of approximately 6500 trees in the Kedumba valley and three remnant populations on the Nepean River at Bents Basin (about 300 trees), Wallacia (nine trees), and Camden (about 30 trees). 
4. E. benthamii is found in limited areas, west of Sydney plains along the Nepean River and its tributaries. 
5. The habitat of E. benthamii is restricted to the alluvial flats of the Kedumba/Cox/Nepean river system at an altitude of 140-750m. </v>
      </c>
      <c r="C5" s="53" t="str">
        <v xml:space="preserve">1. PERAL NAPPFAST Global Plant Hardiness (http://www.nappfast.org/Plant_hardiness/NAPPFAST%20Global%20zones/10-year%20climate/PLANT_HARDINESS_10YR%20lgnd.tif) &amp; USDA Plant Hardiness Zone Map, 2012. Agricultural Research Service, U.S. Department of Agriculture. Accessed from http://planthardiness.ars.usda.gov. 
2. Benson, D.H. 1985. Aspects of the ecology of a rare tree species, Eucalyptus benthamii , at Bents Basin, Wallacia. Cunninghamia 1(3): 371-383. 
3.a-b. Butcher, P.A. et al. 2005. Increased inbreeding and inter-species gene flow in remnanat populations of the rare Eucalyptus benthamii. Conservation Genetics 6: 213-226. 
4. Clara, Victoria Higa Rosana. 1999. Ecological and Forestry of Eucalyptus benthamii Maiden camber ET. Bulletin of Forestry Research, Colombo No. 38: 121-123. 
5. Threatened Species Unit, Central Directorate, New South Wales National Parks and Wildlife Service. Environmental Impact Assessment Guidelines. Eucalyptus benthamii Maiden and Cambage. May 2000. On-line. http://www.environment.nsw.gov.au/resources/nature/EbenthamiiEia0500.pdf. Accessed: 28 June 2011. </v>
      </c>
    </row>
    <row r="6" spans="1:3">
      <c r="A6" s="30">
        <v>2.02</v>
      </c>
      <c r="B6" s="53" t="str">
        <v xml:space="preserve">No computer analysis was performed.  </v>
      </c>
      <c r="C6" s="54">
        <v>0</v>
      </c>
    </row>
    <row r="7" spans="1:3">
      <c r="A7" s="30">
        <v>2.0299999999999998</v>
      </c>
      <c r="B7" s="54" t="str">
        <v>Taxon is limited to one or two climatic zones (1)(2).</v>
      </c>
      <c r="C7" s="53" t="str">
        <v>(2) https://powo.science.kew.org/taxon/urn:lsid:ipni.org:names:592726-1
(2) https://hess.copernicus.org/articles/11/1633/2007/hess-11-1633-2007.pdf</v>
      </c>
    </row>
    <row r="8" spans="1:3" ht="15.95">
      <c r="A8" s="30">
        <v>2.04</v>
      </c>
      <c r="B8" s="51" t="str">
        <v>Mean annual precipitation in the native southwest of New South Wales is 1200-2000 mm (47.2"-78.7"). 
2. Rainfall year is 1100 mm (43") with peaks in summer and mild autumn</v>
      </c>
      <c r="C8" s="51" t="str">
        <v xml:space="preserve">1. Commonwealth of Australia 2011, Bureau of Meteorology. http://www.bom.gov.au/climate/averages/maps.shtml. Accessed: 3 April 2012. 
2. Clara, Victoria Higa Rosana. 1999. Ecological and Forestry of Eucalyptus benthamii Maiden camber ET. Bulletin of Forestry Research, Colombo No. 38: 121-123. </v>
      </c>
    </row>
    <row r="9" spans="1:3" ht="80.099999999999994">
      <c r="A9" s="30">
        <v>2.0499999999999998</v>
      </c>
      <c r="B9" s="51" t="str">
        <v>1. Eucalyptus benthamii is a forest tree of interest for plantation forestry. 
2. In the 1980s, six site x species interaction trials were planted in 1990-1991, including E. benthamii . 
3. Cultivation large-diameter eucalypts is a new trend in China and elsewhere. The main species being tested include E. benthamii ,...etc. in Fujian, Guangdong, Guangxi, Hainan, Hunan and Yunnan.</v>
      </c>
      <c r="C9" s="53" t="str">
        <v>1. Butcher, P.A. et al. 2005. Increased inbreeding and interspecies gene flow in remnanat populations of the rare Eucalyptus benthamii . Conservation Genetics 6: 213-226. 
2. Little, K.M &amp; Gardner, A.W. 2003. Coppicing ability of 20 Eucalyptus species grown at two high-altitude sites in South Africa. Canadian Journal of Forest Research 33: 181-189. 
3. Turnbull, J.W., ed., 2003. Eucalypts in Asia. Proceedings of an International Conference held in Zhanjiang, Guangdong, People’s Republic of China, 7–11 April 2003. ACIAR Proceedings No. 111, 267 p.</v>
      </c>
    </row>
    <row r="10" spans="1:3" ht="63.95">
      <c r="A10" s="30">
        <v>3.01</v>
      </c>
      <c r="B10" s="51" t="str">
        <v>Taxon is cultivated for lumber in several regions. Currently, little evidence of escape exists (1).</v>
      </c>
      <c r="C10" s="53" t="str">
        <v xml:space="preserve">(1) 
  Butnor, J. R., Johnsen, K. H., Anderson, P. H., Hall, K. B., Halman, J. M., Hawley, G. J., Maier, C. A., &amp; Schaberg, P. G. (2019). Growth, Photosynthesis, and Cold Tolerance of Eucalyptus benthamii Planted in the Piedmont of North Carolina. Forest Science, 65(1), 59–67. https://doi.org/10.1093/forsci/fxy030
</v>
      </c>
    </row>
    <row r="11" spans="1:3" ht="80.099999999999994">
      <c r="A11" s="30">
        <v>3.02</v>
      </c>
      <c r="B11" s="50" t="str">
        <v>No evidence</v>
      </c>
      <c r="C11" s="53">
        <v>0</v>
      </c>
    </row>
    <row r="12" spans="1:3" ht="32.1">
      <c r="A12" s="30">
        <v>3.03</v>
      </c>
      <c r="B12" s="50" t="str">
        <v>No evidence</v>
      </c>
      <c r="C12" s="53">
        <v>0</v>
      </c>
    </row>
    <row r="13" spans="1:3" ht="63.95">
      <c r="A13" s="30">
        <v>3.04</v>
      </c>
      <c r="B13" s="51" t="str">
        <v>No evidence</v>
      </c>
      <c r="C13" s="53">
        <v>0</v>
      </c>
    </row>
    <row r="14" spans="1:3" ht="32.1">
      <c r="A14" s="30">
        <v>3.05</v>
      </c>
      <c r="B14" s="51" t="str">
        <v>1. The following eucalypts are considered principal weeds in Australia (principal weed in this context is ranked according to the importance of the weed and is usually referring to about the five most troublesome species for the crop): E. cambageana, E. ferruginea, E. gracilis, E. marginata, E. miniata, E. pilularis, E. populnea, E. tetradonta .
2. E. cambageana is considered a weed of agriculture.</v>
      </c>
      <c r="C14" s="53" t="str">
        <v>1. Holm, L. et al. A Geographical Atlas of World Weeds. John Wiley and Sons, New York. 1979.
2. https://www.fs.usda.gov/psw/publications/documents/psw_gtr069/psw_gtr069_05_elmore.pdf</v>
      </c>
    </row>
    <row r="15" spans="1:3">
      <c r="A15" s="30">
        <v>4.01</v>
      </c>
      <c r="B15" s="50" t="str">
        <v>No evidence</v>
      </c>
      <c r="C15" s="55">
        <v>0</v>
      </c>
    </row>
    <row r="16" spans="1:3" ht="15.95">
      <c r="A16" s="30">
        <v>4.0199999999999996</v>
      </c>
      <c r="B16" s="51" t="str">
        <v>Unknown. 
1. "Allelopathy is widely considered to be one of the causes of biodiversity reduction in Eucalyptus plantations. However, most research conducted on the allelopathic effects of Eucalyptus is performed in the laboratory with weeds and crops as receptors, which fail to fully reflect natural ecosystems."</v>
      </c>
      <c r="C16" s="51" t="str">
        <v xml:space="preserve">1. 
  Chu, C., Mortimer, P. E., Wang, H., Wang, Y., Liu, X., &amp; Yu, S. (2014). Allelopathic effects of Eucalyptus on native and introduced tree species. Forest Ecology and Management, 323, 79–84. https://doi.org/10.1016/j.foreco.2014.03.004
</v>
      </c>
    </row>
    <row r="17" spans="1:3" ht="15.95">
      <c r="A17" s="30">
        <v>4.03</v>
      </c>
      <c r="B17" s="51" t="str">
        <v>No evidence</v>
      </c>
      <c r="C17" s="51">
        <v>0</v>
      </c>
    </row>
    <row r="18" spans="1:3" ht="80.099999999999994">
      <c r="A18" s="30">
        <v>4.04</v>
      </c>
      <c r="B18" s="51" t="str">
        <v xml:space="preserve">Unknown. </v>
      </c>
      <c r="C18" s="51">
        <v>0</v>
      </c>
    </row>
    <row r="19" spans="1:3" ht="48">
      <c r="A19" s="30">
        <v>4.05</v>
      </c>
      <c r="B19" s="51" t="str">
        <v>Plant contains toxic chemical, but is noted to be medicinal (1)(2).</v>
      </c>
      <c r="C19" s="51" t="str">
        <v xml:space="preserve">(1) 
  Kanunfre, C. C., Nakashima, T., Padilha de Paula, J., Sales Maia, B. H. L. de N., Sartoratto, A., Döll-Boscardin, P. M., &amp; Farago, P. V. (2012). In Vitro Cytotoxic Potential of Essential Oils of Eucalyptus benthamii and Its Related Terpenes on Tumor Cell Lines. Evidence-Based Complementary and Alternative Medicine, 2012(2012), 1–8. https://doi.org/10.1155/2012/342652
(2) Farago, Paulo &amp; Döll-Boscardin, Patrícia &amp; Kanunfre, Carla &amp; Manfron, Jane. (2015). Cytotoxic potential of essential oils of Eucalyptus benthamii and its related terpenes on tumor cell lines. Planta Medica. 81. 10.1055/s-0035-1556209. </v>
      </c>
    </row>
    <row r="20" spans="1:3" ht="63.95">
      <c r="A20" s="30">
        <v>4.0599999999999996</v>
      </c>
      <c r="B20" s="51" t="str">
        <v>No evidence</v>
      </c>
      <c r="C20" s="51">
        <v>0</v>
      </c>
    </row>
    <row r="21" spans="1:3" ht="15.95">
      <c r="A21" s="30">
        <v>4.07</v>
      </c>
      <c r="B21" s="51" t="str">
        <v>Taxon is noted to cause severe medical emergencies and mortality upon ingestion (1)(2).</v>
      </c>
      <c r="C21" s="51" t="str">
        <v>(1) 
  Suresh, D., VijayaKumar, S., Pradhan, P., &amp; Balasubramanian, S. (2025). Fatal Eucalyptus Oil Poisoning in an Adult Male: A Case Report With Comprehensive Autopsy and Histopathological Findings. Curēus (Palo Alto, CA), 17(4), e83053. https://doi.org/10.7759/cureus.83053
(2)  Shekhli S, Datta SS, S S VK. Eucalyptus Oil Poisoning in Young Adults: A Case Series Highlighting Rhabdomyolysis as a Critical
Complication. Asia Pac J Med Toxicol 2025; 14(2): 66- 74.</v>
      </c>
    </row>
    <row r="22" spans="1:3" ht="32.1">
      <c r="A22" s="30">
        <v>4.08</v>
      </c>
      <c r="B22" s="51" t="str">
        <v>No evidence</v>
      </c>
      <c r="C22" s="53">
        <v>0</v>
      </c>
    </row>
    <row r="23" spans="1:3" ht="48">
      <c r="A23" s="30">
        <v>4.09</v>
      </c>
      <c r="B23" s="51" t="str">
        <v>Taxon grows best in full sun (1)(2).</v>
      </c>
      <c r="C23" s="51" t="str">
        <v>(1) https://www.environment.nsw.gov.au/sites/default/files/eucalyptus-benthamii-conservation-assessment-CRE.pdf
(2) https://www.frames.gov/catalog/61876</v>
      </c>
    </row>
    <row r="24" spans="1:3" ht="32.1">
      <c r="A24" s="30">
        <v>4.0999999999999996</v>
      </c>
      <c r="B24" s="51" t="str">
        <v>1. E. benthamii occurs only in wet open forest on sandy alluvial soils. The soils are shallow to moderately deep, &lt;100 cm, and are well-drained alluvial sands and gravels along stream channels, small terraces and alluvial flats. 
2. The species is confined to the fertile riverflats and alluvial banks of the Nepean River and its tributaries.</v>
      </c>
      <c r="C24" s="51" t="str">
        <v xml:space="preserve">1. Threatened Species Unit, Central Directorate, New South Wales National Parks and Wildlife Service. Threatened Species Information. Eucalyptus benthamii Maiden and Cambage. May 2000. On-line. http://www.environment.nsw.gov.au/resources/nature/TS profileEucalyptusBenthamii.pdf. Accessed: 28 June 2011. 
2. Benson, D.H. 1985. Aspects of the ecology of a rare tree species, Eucalyptus benthamii , at Bents Basin, Wallacia. Cunninghamia 1(3): 371-383. </v>
      </c>
    </row>
    <row r="25" spans="1:3" ht="15.95">
      <c r="A25" s="30">
        <v>4.1100000000000003</v>
      </c>
      <c r="B25" s="51" t="str">
        <v>No evidence</v>
      </c>
      <c r="C25" s="51">
        <v>0</v>
      </c>
    </row>
    <row r="26" spans="1:3" ht="15.95">
      <c r="A26" s="30">
        <v>4.12</v>
      </c>
      <c r="B26" s="51" t="str">
        <v>No evidence</v>
      </c>
      <c r="C26" s="51">
        <v>0</v>
      </c>
    </row>
    <row r="27" spans="1:3" ht="15.95">
      <c r="A27" s="30">
        <v>5.01</v>
      </c>
      <c r="B27" s="51" t="str">
        <v>Taxon is terrestrial.</v>
      </c>
      <c r="C27" s="51">
        <v>0</v>
      </c>
    </row>
    <row r="28" spans="1:3" ht="15.95">
      <c r="A28" s="30">
        <v>5.0199999999999996</v>
      </c>
      <c r="B28" s="51" t="str">
        <v>Not of the Poaceae family</v>
      </c>
      <c r="C28" s="51">
        <v>0</v>
      </c>
    </row>
    <row r="29" spans="1:3" ht="15.95">
      <c r="A29" s="30">
        <v>5.03</v>
      </c>
      <c r="B29" s="51" t="str">
        <v>No evidence</v>
      </c>
      <c r="C29" s="51">
        <v>0</v>
      </c>
    </row>
    <row r="30" spans="1:3" ht="15.95">
      <c r="A30" s="30">
        <v>5.04</v>
      </c>
      <c r="B30" s="51" t="str">
        <v>No evidence</v>
      </c>
      <c r="C30" s="51">
        <v>0</v>
      </c>
    </row>
    <row r="31" spans="1:3" ht="27.95">
      <c r="A31" s="30">
        <v>6.01</v>
      </c>
      <c r="B31" s="50" t="str">
        <v>Taxon is listed as endangered in native range (1)(2).</v>
      </c>
      <c r="C31" s="51" t="str">
        <v>(1) https://powo.science.kew.org/taxon/urn:lsid:ipni.org:names:592726-1/general-information
(2) https://threatenedspecies.bionet.nsw.gov.au/profile?id=10284</v>
      </c>
    </row>
    <row r="32" spans="1:3" ht="48">
      <c r="A32" s="30">
        <v>6.02</v>
      </c>
      <c r="B32" s="51" t="str">
        <v>"Flowering and fruiting abundance seems to vary considerably between individuals. Freshly collected seed has good viability (1)."
"Higher germination with litter removal suggests germination is influenced by litter,but higher germination with increased light availability, regardless of raking, suggests germination isalso influenced by light availability (2)."</v>
      </c>
      <c r="C32" s="51" t="str">
        <v>(1) Benson, D. H. (1985). Aspects of the ecology of a rare tree species, Eucalyptus benthamii, at Bents Basin, Wallacia. Cunninghamia, 1(3), 371-383
(2) https://www.osti.gov/pages/servlets/purl/1799592</v>
      </c>
    </row>
    <row r="33" spans="1:3" ht="48">
      <c r="A33" s="30">
        <v>6.03</v>
      </c>
      <c r="B33" s="51" t="str">
        <v>"Hybridization with E. viminalis occurs naturally in the Camden region and readily hybridizes with eucalypts that are in the same taxonomic section of the genus (1)."
""Inter-species gene flow poses an additional threat to E. benthamii, 
particularly hybridisation with E. viminalis which occurs naturally in 
the Camden region and readily hybridises with eucalypts that are in 
the same taxonomic section of the genus (Griffin et al. 1988) (2)."</v>
      </c>
      <c r="C33" s="51" t="str">
        <v>(1) Benson, D.H. 1985. Aspects of the ecology of a rare tree species, Eucalyptus benthamii , at Bents Basin, Wallacia. Cunninghamia 1(3): 371-383.
(2) Butcher, P. A., Skinner, A. K., &amp; Gardiner, C. A. (2005). Increased inbreeding and inter-species gene flow in remnant populations of the rare Eucalyptus benthamii. Conservation Genetics, 6(2), 213-226</v>
      </c>
    </row>
    <row r="34" spans="1:3" ht="32.1">
      <c r="A34" s="30">
        <v>6.04</v>
      </c>
      <c r="B34" s="51" t="str">
        <v>"While no direct relationship was found between population size and outcrossing rates, fragmentation and the isolation of trees appears to have resulted in higher levels of selfing and biparental inbreeding in seed collected from the Camden and Wallacia remnants (1)."</v>
      </c>
      <c r="C34" s="51" t="str">
        <v xml:space="preserve">(1) 
  Butcher, P. A., Skinner, A. K., &amp; Gardiner, C. A. (2005). Increased inbreeding and inter-species gene flow in remnant populations of the rare Eucalyptus benthamii. Conservation Genetics, 6(2), 213–226. https://doi.org/10.1007/s10592-004-7830-x
</v>
      </c>
    </row>
    <row r="35" spans="1:3" ht="15.95">
      <c r="A35" s="30">
        <v>6.05</v>
      </c>
      <c r="B35" s="51" t="str">
        <v>No evidence</v>
      </c>
      <c r="C35" s="51">
        <v>0</v>
      </c>
    </row>
    <row r="36" spans="1:3" ht="15.95">
      <c r="A36" s="30">
        <v>6.06</v>
      </c>
      <c r="B36" s="51" t="str">
        <v>"Old stumps, however, may resprout. One had a ring of six sucker 
stems with diameters ranging from 9 to 23 cm, all but one of which 
were killed by the 1979 fire. Suckers from old stumps have the ability 
to reach tree size. One coppice or sucker stem that had grown from 
an old stump (150 cm diameter) was 32 m high with a 54 cm 
diameter." [Suckers in response to cutting or fires. Unknown if 
natural suckering occurs in the absence of damage, or if vegetative 
fragments will establish]</v>
      </c>
      <c r="C36" s="51" t="str">
        <v xml:space="preserve">(1) Benson, D. H. (1985). Aspects of the ecology of a rare tree species, Eucalyptus benthamii, at Bents Basin, Wallacia. Cunninghamia, 1(3), 371-383
</v>
      </c>
    </row>
    <row r="37" spans="1:3" ht="15.95">
      <c r="A37" s="30">
        <v>6.07</v>
      </c>
      <c r="B37" s="51" t="str">
        <v>"Under natural conditions, young trees 5 m high, and probably only 
6 to 10 years old, may produce mature seed capsules."</v>
      </c>
      <c r="C37" s="51" t="str">
        <v xml:space="preserve">(1) Benson, D. H. (1985). Aspects of the ecology of a rare tree species, Eucalyptus benthamii, at Bents Basin, Wallacia. Cunninghamia, 1(3), 371-383
</v>
      </c>
    </row>
    <row r="38" spans="1:3" ht="80.099999999999994">
      <c r="A38" s="30">
        <v>7.01</v>
      </c>
      <c r="B38" s="51" t="str">
        <v>No evidence</v>
      </c>
      <c r="C38" s="51">
        <v>0</v>
      </c>
    </row>
    <row r="39" spans="1:3" ht="32.1">
      <c r="A39" s="30">
        <v>7.02</v>
      </c>
      <c r="B39" s="51" t="str">
        <v>"Eucalyptus rank among the most economically important trees globally. They exhibit traits, such as fast growth and high water use efficiency, that contribute to their candidacy as an excellent biofuel crop (1)."</v>
      </c>
      <c r="C39" s="51" t="str">
        <v xml:space="preserve">(1) https://www.osti.gov/pages/servlets/purl/1799592
</v>
      </c>
    </row>
    <row r="40" spans="1:3" ht="63.95">
      <c r="A40" s="30">
        <v>7.03</v>
      </c>
      <c r="B40" s="50" t="str">
        <v>No evidence</v>
      </c>
      <c r="C40" s="51">
        <v>0</v>
      </c>
    </row>
    <row r="41" spans="1:3" ht="15.95">
      <c r="A41" s="30">
        <v>7.04</v>
      </c>
      <c r="B41" s="51" t="str">
        <v>"Seed is dispersed locally by wind and seedling recruitment follows flood or soil disturbance and requires open sites (1)."</v>
      </c>
      <c r="C41" s="51" t="str">
        <v>(1) https://www.environment.nsw.gov.au/sites/default/files/eucalyptus-benthamii-final-dtermination-CR.pdf</v>
      </c>
    </row>
    <row r="42" spans="1:3" ht="15.95">
      <c r="A42" s="30">
        <v>7.05</v>
      </c>
      <c r="B42" s="51" t="str">
        <v>Propagules are dispersed by the nepean river in native range (1).
"Eucalypts should not be planted near rivers/streams. Temporarily 
flooded or eroded river/stream banks are suitable habitat for 
spontaneous establishment of seedlings. Additionally, their seeds 
can be dispersed for long distances by running water."</v>
      </c>
      <c r="C42" s="51" t="str">
        <v>(1) https://www.camdentownfarm.com.au/community-access-and-visitation/walkway-points-of-interest/camden-white-gum-protection/
(2) Rejmánek, M. &amp; Richardson, D.M. (2011). Eucalypts. Pp. 
203-209 In D. Simberloff &amp; M. Rejmánek, (eds.). 
Encyclopedia of Biological Invasions. University of 
California Press, Berkeley</v>
      </c>
    </row>
    <row r="43" spans="1:3" ht="15.95">
      <c r="A43" s="30">
        <v>7.06</v>
      </c>
      <c r="B43" s="51" t="str">
        <v>No evidence</v>
      </c>
      <c r="C43" s="51">
        <v>0</v>
      </c>
    </row>
    <row r="44" spans="1:3" ht="32.1">
      <c r="A44" s="30">
        <v>7.07</v>
      </c>
      <c r="B44" s="51" t="str">
        <v>No evidence</v>
      </c>
      <c r="C44" s="51">
        <v>0</v>
      </c>
    </row>
    <row r="45" spans="1:3" ht="32.1">
      <c r="A45" s="30">
        <v>7.08</v>
      </c>
      <c r="B45" s="50" t="str">
        <v>No evidence</v>
      </c>
      <c r="C45" s="51">
        <v>0</v>
      </c>
    </row>
    <row r="46" spans="1:3" ht="48">
      <c r="A46" s="30">
        <v>8.01</v>
      </c>
      <c r="B46" s="50" t="str">
        <v>"The long-term viability of these stands is threatened by lack of regeneration associated with poor and erratic seed production."</v>
      </c>
      <c r="C46" s="51" t="str">
        <v>(1) FAO, FLD, IPGRI. 2004. Forest genetic resources 
conservation and management. Vol. 1: Overview, concepts and some systematic approaches. International Plant Genetic Resources Institute , Rome, Italy.</v>
      </c>
    </row>
    <row r="47" spans="1:3" ht="48">
      <c r="A47" s="30">
        <v>8.02</v>
      </c>
      <c r="B47" s="51" t="str">
        <v>"The low germination rates under a variety of field conditions coupled with the lack of persistence suggests establishment may be unlikely, regardless of the surrounding land matrix (1)."
Eucalypt seeds do not have dormancy and seed storage in the soil lasts less than a year (2).</v>
      </c>
      <c r="C47" s="51" t="str">
        <v>(1) https://www.osti.gov/pages/servlets/purl/1799592
(2)  Rejmánek, M. &amp; D.M. Richardson. 2011. Eucalypts (203-209). In : D. Simberloff &amp; M. Rejmánek, eds. Encyclopedia of Biological Invasions. Berkeley: University of California Press.</v>
      </c>
    </row>
    <row r="48" spans="1:3" ht="48">
      <c r="A48" s="30">
        <v>8.0299999999999994</v>
      </c>
      <c r="B48" s="51" t="str">
        <v>Taxon is vulnerable to herbicies (1).
[Methods to control Eucalyptus globulus would likely be effective on 
other species] "Treating freshly cut stumps with triclopyr or 
glyphosate prevents resprouting. Foliar sprays are less effective due 
to the waxy leaves. However, repeated sprays to sprouts may 
eventually kill the tree (Bossard et al., 2000)."</v>
      </c>
      <c r="C48" s="51" t="str">
        <v>(1) https://www.lsuagcenter.com/~/media/system/e/5/3/e/e53e50af20419be25e714ca03e0fa9fa/pub3426managementguidelinesestablishingeucalyptus.pdf
(2) Weber, E. (2017). Invasive Plant Species of the World, 2nd Edition: A Reference Guide to Environmental Weeds. CABI Publishing, Wallingford, UK_x000D_</v>
      </c>
    </row>
    <row r="49" spans="1:3" ht="48">
      <c r="A49" s="30">
        <v>8.0399999999999991</v>
      </c>
      <c r="B49" s="51" t="str">
        <v>1.a. Responds to low-intensity fire damage by producing epicormic shoots on the branches and trunk. 
1.b. After severe fire damage trees may be weakened at the base, collapse, and regrow coppice stems which may survive for another 100 years.</v>
      </c>
      <c r="C49" s="51" t="str">
        <v xml:space="preserve"> 1.a-b. Threatened Species Unit, Central Directorate, New South Wales National Parks and Wildlife Service. Threatened Species Information. Eucalyptus benthamii Maiden and Cambage. May 2000. On-line. http://www.environment.nsw.gov.au/resources/nature/TSprofileEucalyptusBenthamii.pdf.</v>
      </c>
    </row>
    <row r="50" spans="1:3">
      <c r="A50" s="30">
        <v>8.0500000000000007</v>
      </c>
      <c r="B50" s="50" t="str">
        <v>Unknown</v>
      </c>
      <c r="C50" s="51">
        <v>0</v>
      </c>
    </row>
  </sheetData>
  <sheetProtection algorithmName="SHA-512" hashValue="HwVsddSKA36z0HQovLp52AHeyUwXIB3BK9O2Nfeb1wc6CSMAX71mBA8zvBTYMnBwR7SnlERXptCmZRxSLLKyAA==" saltValue="5pGpLizWx2P+VsfdacsGS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21906AFC853A408AD5005C49B5E75E" ma:contentTypeVersion="17" ma:contentTypeDescription="Create a new document." ma:contentTypeScope="" ma:versionID="d4bbcbbddbe6728658924f979d6bd480">
  <xsd:schema xmlns:xsd="http://www.w3.org/2001/XMLSchema" xmlns:xs="http://www.w3.org/2001/XMLSchema" xmlns:p="http://schemas.microsoft.com/office/2006/metadata/properties" xmlns:ns2="f21a967f-c9b6-4417-8b28-12bf5b07c60b" xmlns:ns3="898990d9-3832-423e-b64c-5c8524f186af" targetNamespace="http://schemas.microsoft.com/office/2006/metadata/properties" ma:root="true" ma:fieldsID="62ba9a948237f19e9d09d1062a4c63de" ns2:_="" ns3:_="">
    <xsd:import namespace="f21a967f-c9b6-4417-8b28-12bf5b07c60b"/>
    <xsd:import namespace="898990d9-3832-423e-b64c-5c8524f186a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1a967f-c9b6-4417-8b28-12bf5b07c6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a0c477a-f09e-4137-8c49-77869fdcca9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98990d9-3832-423e-b64c-5c8524f186a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10cedfe-beb2-4ef3-8cef-26ff56bb9e6e}" ma:internalName="TaxCatchAll" ma:showField="CatchAllData" ma:web="898990d9-3832-423e-b64c-5c8524f186a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21a967f-c9b6-4417-8b28-12bf5b07c60b">
      <Terms xmlns="http://schemas.microsoft.com/office/infopath/2007/PartnerControls"/>
    </lcf76f155ced4ddcb4097134ff3c332f>
    <TaxCatchAll xmlns="898990d9-3832-423e-b64c-5c8524f186a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7DB3D91-C7BC-49C8-9CC5-1E9B6D51F6BE}"/>
</file>

<file path=customXml/itemProps2.xml><?xml version="1.0" encoding="utf-8"?>
<ds:datastoreItem xmlns:ds="http://schemas.openxmlformats.org/officeDocument/2006/customXml" ds:itemID="{624714E1-6774-437D-801A-4B8EB940739E}"/>
</file>

<file path=customXml/itemProps3.xml><?xml version="1.0" encoding="utf-8"?>
<ds:datastoreItem xmlns:ds="http://schemas.openxmlformats.org/officeDocument/2006/customXml" ds:itemID="{C72C3439-75BE-411A-8E6B-DF10E44BED2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Wanamaker,Christian E</dc:creator>
  <cp:keywords/>
  <dc:description/>
  <cp:lastModifiedBy>Deelstra, Cameron</cp:lastModifiedBy>
  <cp:revision/>
  <dcterms:created xsi:type="dcterms:W3CDTF">2021-06-15T16:34:22Z</dcterms:created>
  <dcterms:modified xsi:type="dcterms:W3CDTF">2025-11-24T16:47:04Z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0x010100BD21906AFC853A408AD5005C49B5E75E</vt:lpwstr>
  </property>
  <property fmtid="{D5CDD505-2E9C-101B-9397-08002B2CF9AE}" pid="3" name="MediaServiceImageTags">
    <vt:lpwstr/>
  </property>
</Properties>
</file>