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kimse\OneDrive\Desktop\UF\Symphytum officinale\"/>
    </mc:Choice>
  </mc:AlternateContent>
  <xr:revisionPtr revIDLastSave="0" documentId="13_ncr:1_{211C59DB-10FB-4DED-B64D-AB826636FA36}" xr6:coauthVersionLast="47" xr6:coauthVersionMax="47" xr10:uidLastSave="{00000000-0000-0000-0000-000000000000}"/>
  <bookViews>
    <workbookView xWindow="-23790" yWindow="2745" windowWidth="21600" windowHeight="11295" xr2:uid="{DC9EAAB9-A961-4D36-B025-37CCF3FD5897}"/>
  </bookViews>
  <sheets>
    <sheet name="WRA Worksheet" sheetId="1" r:id="rId1"/>
    <sheet name="LUT" sheetId="2" r:id="rId2"/>
    <sheet name="PDF Template Scoresheet" sheetId="3" r:id="rId3"/>
    <sheet name="PDF Template Refs &amp; Data" sheetId="4" r:id="rId4"/>
  </sheets>
  <definedNames>
    <definedName name="_xlnm._FilterDatabase" localSheetId="0" hidden="1">'WRA Worksheet'!$B$65:$C$67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 r="D4" i="3" s="1"/>
  <c r="A1" i="3"/>
  <c r="D71" i="1"/>
  <c r="D73" i="1"/>
  <c r="C74" i="1" s="1"/>
  <c r="C53" i="3" a="1"/>
  <c r="C53" i="3" s="1"/>
  <c r="D72" i="1"/>
  <c r="I26" i="2"/>
  <c r="I27" i="2"/>
  <c r="D3" i="1"/>
  <c r="D3" i="3" s="1"/>
  <c r="D5" i="1"/>
  <c r="D5" i="3" s="1"/>
  <c r="D8" i="1"/>
  <c r="D8" i="3" s="1"/>
  <c r="D9" i="1"/>
  <c r="D9" i="3" s="1"/>
  <c r="D11" i="1"/>
  <c r="D11" i="3" s="1"/>
  <c r="D12" i="1"/>
  <c r="D12" i="3" s="1"/>
  <c r="D13" i="1"/>
  <c r="D13" i="3" s="1"/>
  <c r="D14" i="1"/>
  <c r="D14" i="3" s="1"/>
  <c r="D15" i="1"/>
  <c r="D15" i="3" s="1"/>
  <c r="D16" i="1"/>
  <c r="D16" i="3" s="1"/>
  <c r="D17" i="1"/>
  <c r="D17" i="3" s="1"/>
  <c r="D18" i="1"/>
  <c r="D18" i="3" s="1"/>
  <c r="D19" i="1"/>
  <c r="D19" i="3" s="1"/>
  <c r="D20" i="1"/>
  <c r="D20" i="3" s="1"/>
  <c r="D21" i="1"/>
  <c r="D21" i="3" s="1"/>
  <c r="D22" i="1"/>
  <c r="D22" i="3" s="1"/>
  <c r="D23" i="1"/>
  <c r="D23" i="3" s="1"/>
  <c r="D24" i="1"/>
  <c r="D24" i="3" s="1"/>
  <c r="D25" i="1"/>
  <c r="D25" i="3" s="1"/>
  <c r="D26" i="1"/>
  <c r="D26" i="3" s="1"/>
  <c r="D27" i="1"/>
  <c r="D27" i="3" s="1"/>
  <c r="D28" i="1"/>
  <c r="D28" i="3" s="1"/>
  <c r="D29" i="1"/>
  <c r="D29" i="3" s="1"/>
  <c r="D30" i="1"/>
  <c r="D30" i="3" s="1"/>
  <c r="D31" i="1"/>
  <c r="D31" i="3" s="1"/>
  <c r="D32" i="1"/>
  <c r="D32" i="3" s="1"/>
  <c r="D33" i="1"/>
  <c r="D33" i="3" s="1"/>
  <c r="D34" i="1"/>
  <c r="D34" i="3" s="1"/>
  <c r="D35" i="1"/>
  <c r="D35" i="3" s="1"/>
  <c r="D36" i="1"/>
  <c r="D36" i="3" s="1"/>
  <c r="D37" i="1"/>
  <c r="D37" i="3" s="1"/>
  <c r="D38" i="1"/>
  <c r="D38" i="3" s="1"/>
  <c r="D39" i="1"/>
  <c r="D39" i="3" s="1"/>
  <c r="D40" i="1"/>
  <c r="D40" i="3" s="1"/>
  <c r="D41" i="1"/>
  <c r="D41" i="3" s="1"/>
  <c r="D42" i="1"/>
  <c r="D42" i="3" s="1"/>
  <c r="D43" i="1"/>
  <c r="D43" i="3" s="1"/>
  <c r="D44" i="1"/>
  <c r="D44" i="3" s="1"/>
  <c r="D45" i="1"/>
  <c r="D45" i="3" s="1"/>
  <c r="D46" i="1"/>
  <c r="D46" i="3" s="1"/>
  <c r="D47" i="1"/>
  <c r="D47" i="3" s="1"/>
  <c r="D48" i="1"/>
  <c r="D48" i="3" s="1"/>
  <c r="D49" i="1"/>
  <c r="D49" i="3" s="1"/>
  <c r="D50" i="1"/>
  <c r="D50" i="3" s="1"/>
  <c r="D51" i="1"/>
  <c r="D51" i="3" s="1"/>
  <c r="C57" i="1"/>
  <c r="B57" i="3" s="1"/>
  <c r="C57" i="3" s="1"/>
  <c r="C58" i="1"/>
  <c r="B58" i="3" s="1"/>
  <c r="C58" i="3" s="1"/>
  <c r="C59" i="1"/>
  <c r="B59" i="3" s="1"/>
  <c r="C59" i="3" s="1"/>
  <c r="B2" i="4" a="1"/>
  <c r="B2" i="4" s="1"/>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4" i="3"/>
  <c r="C5" i="3"/>
  <c r="C3" i="3"/>
  <c r="D59" i="1" l="1"/>
  <c r="D58" i="1"/>
  <c r="C60" i="3"/>
  <c r="C60" i="1"/>
  <c r="B60" i="3" s="1"/>
  <c r="D57" i="1"/>
  <c r="D53" i="1"/>
  <c r="D60" i="1" l="1"/>
  <c r="D54" i="1"/>
  <c r="C54" i="3" s="1"/>
  <c r="C5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<sst xmlns="http://schemas.openxmlformats.org/spreadsheetml/2006/main" count="337" uniqueCount="184">
  <si>
    <t>Species:</t>
  </si>
  <si>
    <t>Number</t>
  </si>
  <si>
    <t>Question</t>
  </si>
  <si>
    <t>Answer</t>
  </si>
  <si>
    <t>Score</t>
  </si>
  <si>
    <t>Uncertainty</t>
  </si>
  <si>
    <t>Evidence</t>
  </si>
  <si>
    <t>Reference</t>
  </si>
  <si>
    <t>Is the species highly domesticated?</t>
  </si>
  <si>
    <t>Has the species become naturalised where grown?</t>
  </si>
  <si>
    <t>Does the species have weedy races?</t>
  </si>
  <si>
    <t>Species suited to Florida's USDA climate zones (1-low; 2-intermediate; 3-high)
       North Zone: suited to Zones 8, 9
       Central Zone: suited to Zones 9, 10
       South Zone: suited to Zone 10</t>
  </si>
  <si>
    <t>Quality of climate match data (1-low; 2-intermediate; 3-high)</t>
  </si>
  <si>
    <t>Broad climate suitability (environmental versatility)</t>
  </si>
  <si>
    <t>Native or naturalized in habitats with periodic inundation
       North Zone: mean annual precipitation 50-70 inches
       Central Zone: mean annual precipitation 40-60 inches
       South Zone: mean annual precipitation 40-60 inches</t>
  </si>
  <si>
    <t>Does the species have a history of repeated introductions outside its natural range?</t>
  </si>
  <si>
    <t>Naturalized beyond native range</t>
  </si>
  <si>
    <t>Garden/amenity/disturbance weed</t>
  </si>
  <si>
    <t>Weed of agriculture</t>
  </si>
  <si>
    <t>Environmental weed</t>
  </si>
  <si>
    <t>Congeneric weed</t>
  </si>
  <si>
    <t>Produces spines, thorns or burrs</t>
  </si>
  <si>
    <t>Allelopathic</t>
  </si>
  <si>
    <t>Parasitic</t>
  </si>
  <si>
    <t>Unpalatable to grazing animals</t>
  </si>
  <si>
    <t>Toxic to animals</t>
  </si>
  <si>
    <t>Host for recognised pests and pathogens</t>
  </si>
  <si>
    <t>Causes allergies or is otherwise toxic to humans</t>
  </si>
  <si>
    <t>Creates a fire hazard in natural ecosystems</t>
  </si>
  <si>
    <t>Is a shade tolerant plant at some stage of its life cycle</t>
  </si>
  <si>
    <t>Grows on infertile soils (oligotrophic, limerock, or excessively draining soils).  North &amp; Central Zones: infertile soils; South Zone: shallow limerock or Histisols.</t>
  </si>
  <si>
    <t>Climbing or smothering growth habit</t>
  </si>
  <si>
    <t>Forms dense thickets</t>
  </si>
  <si>
    <t>Aquatic</t>
  </si>
  <si>
    <t>Grass</t>
  </si>
  <si>
    <t>Nitrogen fixing woody plant</t>
  </si>
  <si>
    <t>Geophyte</t>
  </si>
  <si>
    <t>Evidence of substantial reproductive failure in native habitat</t>
  </si>
  <si>
    <t>Produces viable seed</t>
  </si>
  <si>
    <t>Hybridizes naturally</t>
  </si>
  <si>
    <t>Self-compatible or apomictic</t>
  </si>
  <si>
    <t>Requires specialist pollinators</t>
  </si>
  <si>
    <t>Reproduction by vegetative propagation</t>
  </si>
  <si>
    <t>Minimum generative time (years)</t>
  </si>
  <si>
    <t>Propagules likely to be dispersed unintentionally (plants growing in heavily trafficked areas)</t>
  </si>
  <si>
    <t>Propagules dispersed intentionally by people</t>
  </si>
  <si>
    <t>Propagules likely to disperse as a produce contaminant</t>
  </si>
  <si>
    <t>Propagules adapted to wind dispersal</t>
  </si>
  <si>
    <t>Propagules water dispersed</t>
  </si>
  <si>
    <t>Propagules bird dispersed</t>
  </si>
  <si>
    <t>Propagules dispersed by other animals (externally)</t>
  </si>
  <si>
    <t>Propagules dispersed by other animals (internally)</t>
  </si>
  <si>
    <t>Prolific seed production</t>
  </si>
  <si>
    <t>Evidence that a persistent propagule bank is formed (&gt;1 yr)</t>
  </si>
  <si>
    <t>Well controlled by herbicides</t>
  </si>
  <si>
    <t>Tolerates, or benefits from, mutilation or cultivation</t>
  </si>
  <si>
    <t>Effective natural enemies present in U.S.</t>
  </si>
  <si>
    <t>Total Score</t>
  </si>
  <si>
    <t>Outcome</t>
  </si>
  <si>
    <t>Section</t>
  </si>
  <si>
    <t># of questions answered</t>
  </si>
  <si>
    <t>satisfy minimum?</t>
  </si>
  <si>
    <t>A</t>
  </si>
  <si>
    <t>B</t>
  </si>
  <si>
    <t>C</t>
  </si>
  <si>
    <t>total</t>
  </si>
  <si>
    <t>Do not complete unless the Outcome (cell D54) is "Evaluate Further"</t>
  </si>
  <si>
    <t xml:space="preserve">Secondary Screening </t>
  </si>
  <si>
    <t xml:space="preserve"> Taxon shade-tolerant or forms dense stands?</t>
  </si>
  <si>
    <t xml:space="preserve"> Taxon is clearly bird- or wind-dispersed?</t>
  </si>
  <si>
    <t xml:space="preserve"> Taxon's life cycle &lt;4 years?</t>
  </si>
  <si>
    <t xml:space="preserve"> Weed of cultivated land?</t>
  </si>
  <si>
    <t xml:space="preserve"> Unpalatable to grazing animals?</t>
  </si>
  <si>
    <t xml:space="preserve"> Forms dense stands/populations?</t>
  </si>
  <si>
    <t xml:space="preserve"> Taxon a tree or tree-like shrub?</t>
  </si>
  <si>
    <t xml:space="preserve"> Taxon herbaceous or a low-growing shrub?</t>
  </si>
  <si>
    <t xml:space="preserve"> Taxon a vine or liana?</t>
  </si>
  <si>
    <t>Secondary Screening result:</t>
  </si>
  <si>
    <t>Scorecard</t>
  </si>
  <si>
    <t>Lookup Table A1:</t>
  </si>
  <si>
    <t>N Score</t>
  </si>
  <si>
    <t>Y Score</t>
  </si>
  <si>
    <t>Locate value of inputs and lookup output for each question</t>
  </si>
  <si>
    <r>
      <rPr>
        <b/>
        <sz val="11"/>
        <color theme="1"/>
        <rFont val="Calibri"/>
        <family val="2"/>
        <scheme val="minor"/>
      </rPr>
      <t>A</t>
    </r>
    <r>
      <rPr>
        <sz val="11"/>
        <color theme="1"/>
        <rFont val="Calibri"/>
        <family val="2"/>
        <scheme val="minor"/>
      </rPr>
      <t xml:space="preserve"> C</t>
    </r>
  </si>
  <si>
    <r>
      <t xml:space="preserve">                                         </t>
    </r>
    <r>
      <rPr>
        <b/>
        <i/>
        <sz val="11"/>
        <color theme="1"/>
        <rFont val="Calibri"/>
        <family val="2"/>
        <scheme val="minor"/>
      </rPr>
      <t xml:space="preserve"> Yes</t>
    </r>
    <r>
      <rPr>
        <sz val="11"/>
        <color theme="1"/>
        <rFont val="Calibri"/>
        <family val="2"/>
        <scheme val="minor"/>
      </rPr>
      <t xml:space="preserve"> to questions 3.01-3.05</t>
    </r>
  </si>
  <si>
    <t>default</t>
  </si>
  <si>
    <t>Inputs</t>
  </si>
  <si>
    <t>The response to qestions 2.01 and 2.02 is 2 unless a climate analysis is done</t>
  </si>
  <si>
    <t>Results</t>
  </si>
  <si>
    <t>Refer to lookup Table A1</t>
  </si>
  <si>
    <r>
      <t xml:space="preserve">       </t>
    </r>
    <r>
      <rPr>
        <b/>
        <i/>
        <sz val="11"/>
        <color theme="1"/>
        <rFont val="Calibri"/>
        <family val="2"/>
        <scheme val="minor"/>
      </rPr>
      <t xml:space="preserve">  No</t>
    </r>
    <r>
      <rPr>
        <sz val="11"/>
        <color theme="1"/>
        <rFont val="Calibri"/>
        <family val="2"/>
        <scheme val="minor"/>
      </rPr>
      <t xml:space="preserve"> to questions 3.01-3.02</t>
    </r>
  </si>
  <si>
    <t>E</t>
  </si>
  <si>
    <t xml:space="preserve">Input </t>
  </si>
  <si>
    <t>?</t>
  </si>
  <si>
    <t>N</t>
  </si>
  <si>
    <t>Y</t>
  </si>
  <si>
    <t>3.02-3.05</t>
  </si>
  <si>
    <r>
      <rPr>
        <b/>
        <sz val="11"/>
        <color theme="1"/>
        <rFont val="Calibri"/>
        <family val="2"/>
        <scheme val="minor"/>
      </rPr>
      <t>B</t>
    </r>
    <r>
      <rPr>
        <sz val="11"/>
        <color theme="1"/>
        <rFont val="Calibri"/>
        <family val="2"/>
        <scheme val="minor"/>
      </rPr>
      <t xml:space="preserve"> C</t>
    </r>
  </si>
  <si>
    <t>Lookup Table for 6.07</t>
  </si>
  <si>
    <t>Years</t>
  </si>
  <si>
    <t>Lookup for Secondary Screening (Vine/Liana Only)</t>
  </si>
  <si>
    <t>Test 1:</t>
  </si>
  <si>
    <t>Test 2:</t>
  </si>
  <si>
    <r>
      <rPr>
        <b/>
        <sz val="11"/>
        <color theme="1"/>
        <rFont val="Calibri"/>
        <family val="2"/>
        <scheme val="minor"/>
      </rPr>
      <t>C</t>
    </r>
    <r>
      <rPr>
        <sz val="11"/>
        <color theme="1"/>
        <rFont val="Calibri"/>
        <family val="2"/>
        <scheme val="minor"/>
      </rPr>
      <t xml:space="preserve"> E</t>
    </r>
  </si>
  <si>
    <t>Refer to lookup Table A3</t>
  </si>
  <si>
    <t>ZONES</t>
  </si>
  <si>
    <r>
      <t xml:space="preserve">Genus species </t>
    </r>
    <r>
      <rPr>
        <b/>
        <sz val="14"/>
        <rFont val="Calibri"/>
        <family val="2"/>
        <scheme val="minor"/>
      </rPr>
      <t xml:space="preserve">(common name) </t>
    </r>
  </si>
  <si>
    <t>Species suited to Florida's USDA climate zones (0-low; 1-intermediate; 2-high)
       North Zone: suited to Zones 8, 9
       Central Zone: suited to Zones 9, 10
       South Zone: suited to Zone 10</t>
  </si>
  <si>
    <t>Quality of climate match data (0-low; 1-intermediate; 2-high)</t>
  </si>
  <si>
    <t xml:space="preserve">Implemented Pacific Second Screening </t>
  </si>
  <si>
    <t>Risk Assessment Results</t>
  </si>
  <si>
    <t>section</t>
  </si>
  <si>
    <t># questions answered</t>
  </si>
  <si>
    <t>n</t>
  </si>
  <si>
    <t>No evidence plant is highly domesticated</t>
  </si>
  <si>
    <r>
      <rPr>
        <sz val="11"/>
        <color rgb="FF000000"/>
        <rFont val="Calibri"/>
        <family val="2"/>
      </rPr>
      <t>Assessment date:</t>
    </r>
    <r>
      <rPr>
        <sz val="11"/>
        <color rgb="FFFF0000"/>
        <rFont val="Calibri"/>
        <family val="2"/>
      </rPr>
      <t xml:space="preserve"> July 26, 2024</t>
    </r>
    <r>
      <rPr>
        <sz val="11"/>
        <color rgb="FF000000"/>
        <rFont val="Calibri"/>
        <family val="2"/>
      </rPr>
      <t xml:space="preserve"> Prepared by Seokmin Kim</t>
    </r>
  </si>
  <si>
    <t>Highly suited for Central and North. Not suited for South</t>
  </si>
  <si>
    <t>See attached climate suitability map</t>
  </si>
  <si>
    <t>y</t>
  </si>
  <si>
    <t>1. 2. Native to continental Europe and Western Asia. Introduced to North America, East Asia and South America</t>
  </si>
  <si>
    <t>1. https://powo.science.kew.org/taxon/urn:lsid:ipni.org:names:120815-1 2. https://accs.uaa.alaska.edu/wp-content/uploads/Symphytum_officinale_BIO_SYOF.pdf</t>
  </si>
  <si>
    <t>See above answer</t>
  </si>
  <si>
    <t>1. 2. Produces viable seeds</t>
  </si>
  <si>
    <t>1. https://accs.uaa.alaska.edu/wp-content/uploads/Symphytum_officinale_BIO_SYOF.pdf</t>
  </si>
  <si>
    <t>1. "Seeds can remain viable in soil for several years"</t>
  </si>
  <si>
    <t>1. Will sprout from any root pieces left behind from removal. 2. Noted as being difficult to remove due to vegetative regeneration</t>
  </si>
  <si>
    <t>1. https://plants.ces.ncsu.edu/plants/symphytum-officinale/ 2. https://accs.uaa.alaska.edu/wp-content/uploads/Symphytum_officinale_BIO_SYOF.pdf</t>
  </si>
  <si>
    <t>1. Establishes in nutrient-rich soil in a disturbed area or garden. 2. Found in sunny, disturbed areas</t>
  </si>
  <si>
    <t>1. https://accs.uaa.alaska.edu/wp-content/uploads/Symphytum_officinale_BIO_SYOF.pdf 2. https://uwmadison.app.box.com/s/vi49mdh929t3rcwe9ko33mqscynnfso3</t>
  </si>
  <si>
    <t>1. 2. S. asperum is considered noxious in California</t>
  </si>
  <si>
    <t>1. https://accs.uaa.alaska.edu/wp-content/uploads/Symphytum_officinale_BIO_SYOF.pdf 2. https://www.missouribotanicalgarden.org/PlantFinder/PlantFinderDetails.aspx?taxonid=277976&amp;isprofile=0&amp;letter=S#:~:text=Symphytum%20asperum%20%2D%20Plant%20Finder&amp;text=This%20plant%20has%20been%20found,be%20planted%20in%20Midwestern%20gardens.</t>
  </si>
  <si>
    <t>1. 2. Sold online</t>
  </si>
  <si>
    <t>1. https://www.twisted-tree.net/perennials/comfrey  2. https://plantingjustice.org/products/comfrey-symphytum-officinale-organic</t>
  </si>
  <si>
    <t>1. Noted as an agricultural weed for fodder plants and pastures, cereals, root crops, and orchards. 2. Noted as a weed of agriculture in Finland. However, not much information regarding productivity losses. Answered UNKNOWN</t>
  </si>
  <si>
    <t>1. https://hal.science/hal-00886262/file/hal-00886262.pdf 2. https://helda.helsinki.fi/server/api/core/bitstreams/3e5cef50-d52e-40d4-b4ea-b168292b2ffd/content</t>
  </si>
  <si>
    <t>1. https://link.springer.com/content/pdf/10.1007/s004420050402.pdf 2. https://www.gardenia.net/guide/native-plant-alternatives-to-symphytum-officinale</t>
  </si>
  <si>
    <t>1. Could compete with native species for pollinators. 2. Can crowd out native species. Of particular concern near streams. However, not much information about its ecological effects on threatened or conserved areas. Answered UNKNOWN</t>
  </si>
  <si>
    <t>No evidence plant produces such characteristics</t>
  </si>
  <si>
    <t>1. allelochemicals isolated from extracts of plant leaves. 2. Not noted as allelopathic. Given absence of field tests, answered UNKNOWN</t>
  </si>
  <si>
    <t>1. https://www.jstage.jst.go.jp/article/weed1962/50/Supplement/50_Supplement_94/_pdf/-char/en 2. https://rozendale.com/index.php/03families/details/21/14</t>
  </si>
  <si>
    <t>No evidence plant is parasitic</t>
  </si>
  <si>
    <t>1. Rare cases of hybridization with S. asperum found in New England 2. Hybridization with S. asperum possible.</t>
  </si>
  <si>
    <t>1. https://gobotany.nativeplanttrust.org/species/symphytum/officinale/ 2. https://www.publish.csiro.au/ch/pdf/ch9801105</t>
  </si>
  <si>
    <t>1. https://www.ncbi.nlm.nih.gov/books/NBK548370/ 2. https://www.cambridge.org/core/services/aop-cambridge-core/content/view/50C49FEFA056383BD2298CA9184CEE74/S1368980000000586a.pdf/the-efficacy-and-safety-of-comfrey.pdf</t>
  </si>
  <si>
    <t>1. Not recommended as a forage crop due to low palatability 2. Can be eaten by pigs, sheep, and poultry but cattle, rabbits and hroses will only consume wilted leaves.</t>
  </si>
  <si>
    <t>1. https://www.feedipedia.org/node/92 2. https://www.permaculture.co.uk/articles/comfrey-its-history-uses-benefits/</t>
  </si>
  <si>
    <t>No evidence plant is host for recognized pests and pathogens</t>
  </si>
  <si>
    <t>1. 2. Known to cause liver damage in people when consumed. However, no evidence found that casual interaction with plant causes allergies or physical discomfort</t>
  </si>
  <si>
    <t>1. https://www.sciencedirect.com/science/article/pii/S1364032122003951?casa_token=RiXGyfA_ZSgAAAAA:Ji1lmLgJXyAt-oQ24rFunEXtjipetFwntnOhs5u4mkn1rT4-TDVvW5TZnx8u_LRg1XBke30sRg</t>
  </si>
  <si>
    <t>1. Noted as one of the plants that needed to be managed to reduce fire risk around power plants. However, no evidence found that plant significantly increases fire risk</t>
  </si>
  <si>
    <t>1. https://plants.ces.ncsu.edu/plants/symphytum-officinale/ 2. https://pnwplants.wsu.edu/PlantDisplay.aspx?PlantID=522</t>
  </si>
  <si>
    <t>No evidence plant has such growth habits</t>
  </si>
  <si>
    <t>No evidence plant forms dense thickets</t>
  </si>
  <si>
    <t>No evidence plant is aquatic</t>
  </si>
  <si>
    <t>Plant is not of the Poaceae family</t>
  </si>
  <si>
    <t>Plant is not nitrogen fixing</t>
  </si>
  <si>
    <t>1. 2. 3. Known to cause liver damage in people. Therefore may be toxic to animals when consumed in large quantities</t>
  </si>
  <si>
    <t>1. https://www.ncbi.nlm.nih.gov/books/NBK548370/ 2. https://www.cambridge.org/core/services/aop-cambridge-core/content/view/50C49FEFA056383BD2298CA9184CEE74/S1368980000000586a.pdf/the-efficacy-and-safety-of-comfrey.pdf 3. https://pnwplants.wsu.edu/PlantDisplay.aspx?PlantID=522</t>
  </si>
  <si>
    <t>No evidence of substantial reproductive failure in native habitats</t>
  </si>
  <si>
    <t>1. https://pubmed.ncbi.nlm.nih.gov/28308029/ 2. https://www.mdpi.com/2079-7737/10/9/903</t>
  </si>
  <si>
    <t>1. Noted as being self incompatible 2. However, manual pollination experiments showed that plant is self-compatible. Given the potential for plants to have other mechanisms to prevent self pollination and contrary evidence, answered UNKJNOWN</t>
  </si>
  <si>
    <t>1. 2. Pollinated by bees</t>
  </si>
  <si>
    <t>1. https://link.springer.com/content/pdf/10.1007/s004420050402.pdf 2. https://www.researchgate.net/publication/289697853_Flowers_ecology_and_pollen_output_of_Symphytum_officinale_L</t>
  </si>
  <si>
    <t>1. 2. Contains roots that are thick, fleshy, and tuber-like</t>
  </si>
  <si>
    <t>1. https://fermanagh.bsbi.org/symphytum-officinale-l 2. https://www.thebryophytanursery.com/listing/1010570515/comfrey-3-roots-or-rhizomes-for-planting</t>
  </si>
  <si>
    <t>1. 2. Plant grows on fertile soils. 3. Noted as being able to adapt to many soils, but not evidence specifically for infertile soils mentioned in the question.</t>
  </si>
  <si>
    <t>1. https://accs.uaa.alaska.edu/wp-content/uploads/Symphytum_officinale_BIO_SYOF.pdf 2. https://plants.ces.ncsu.edu/plants/symphytum-officinale/ 3. https://hort.purdue.edu/newcrop/afcm/comfrey.html</t>
  </si>
  <si>
    <t>1 or fewer</t>
  </si>
  <si>
    <t>1. Flowers can occur after a few months of growth</t>
  </si>
  <si>
    <t>1. https://hort.purdue.edu/newcrop/afcm/comfrey.html</t>
  </si>
  <si>
    <t>1. Plants have escaped gardens and parks. 2. aggressive vegetative growth allows it to spread after tilling that moves plant parts</t>
  </si>
  <si>
    <t>1. https://accs.uaa.alaska.edu/wp-content/uploads/Symphytum_officinale_BIO_SYOF.pdf 2. https://pnwhandbooks.org/weed/problem-weeds/comfrey-symphytum-officinale</t>
  </si>
  <si>
    <t>Not much information found, but given that small root fragments can grow into a whole plant, possible it can spread through contaminated soils. Answered UNKNOWN</t>
  </si>
  <si>
    <t>No evidence plants are adapated to wind dispersal</t>
  </si>
  <si>
    <t>1. 2. Seeds can be dispersed by water.</t>
  </si>
  <si>
    <t>1. https://accs.uaa.alaska.edu/wp-content/uploads/Symphytum_officinale_BIO_SYOF.pdf 2. https://link.springer.com/content/pdf/10.1007/BF00198588.pdf</t>
  </si>
  <si>
    <t>No evidence plant is adapted for bird dispersal</t>
  </si>
  <si>
    <t>No evidence found. Not mentioned as a potential vector in a review.</t>
  </si>
  <si>
    <t>1. Plant does not produce many seeds. (1 seed per four nutlets found in each flower.)</t>
  </si>
  <si>
    <t>1. 2. Noted as being controlled by herbicides</t>
  </si>
  <si>
    <t>1. https://bcinvasives.ca/invasives/common-comfrey/ 2. https://hort.purdue.edu/newcrop/afcm/comfrey.html</t>
  </si>
  <si>
    <t>Unknown</t>
  </si>
  <si>
    <t>1. 2. Grows best in full sun to part shade</t>
  </si>
  <si>
    <t>Symphytum officinale (Comfrey, Common comfrey, True comfrey, Boneset, Knitbone, Consound, Slippery-root). Family: Boraginaceae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</si>
</sst>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1"/>
      <name val="Calibri"/>
      <family val="2"/>
      <scheme val="minor"/>
    </font>
    <font>
      <b/>
      <sz val="11"/>
      <color theme="1" tint="0.499984740745262"/>
      <name val="Calibri"/>
      <family val="2"/>
      <scheme val="minor"/>
    </font>
    <font>
      <sz val="8"/>
      <color theme="1"/>
      <name val="Calibri"/>
      <family val="2"/>
      <scheme val="minor"/>
    </font>
    <font>
      <sz val="7"/>
      <color theme="1"/>
      <name val="Calibri"/>
      <family val="2"/>
      <scheme val="minor"/>
    </font>
    <font>
      <b/>
      <i/>
      <sz val="11"/>
      <color theme="1"/>
      <name val="Calibri"/>
      <family val="2"/>
      <scheme val="minor"/>
    </font>
    <font>
      <b/>
      <sz val="11"/>
      <name val="Calibri"/>
      <family val="2"/>
      <scheme val="minor"/>
    </font>
    <font>
      <sz val="11"/>
      <color rgb="FFFF0000"/>
      <name val="Calibri"/>
      <family val="2"/>
      <scheme val="minor"/>
    </font>
    <font>
      <sz val="12"/>
      <name val="Calibri"/>
      <family val="2"/>
      <scheme val="minor"/>
    </font>
    <font>
      <b/>
      <i/>
      <sz val="14"/>
      <name val="Calibri"/>
      <family val="2"/>
      <scheme val="minor"/>
    </font>
    <font>
      <sz val="11"/>
      <color indexed="8"/>
      <name val="Calibri"/>
      <family val="2"/>
      <scheme val="minor"/>
    </font>
    <font>
      <sz val="9"/>
      <color indexed="8"/>
      <name val="Helvetica"/>
      <family val="2"/>
    </font>
    <font>
      <sz val="11"/>
      <name val="Calibri"/>
      <family val="2"/>
      <scheme val="minor"/>
    </font>
    <font>
      <b/>
      <sz val="11"/>
      <color indexed="8"/>
      <name val="Calibri"/>
      <family val="2"/>
      <scheme val="minor"/>
    </font>
    <font>
      <b/>
      <sz val="9"/>
      <color indexed="8"/>
      <name val="Helvetica"/>
      <family val="2"/>
    </font>
    <font>
      <b/>
      <sz val="9"/>
      <name val="Arial"/>
      <family val="2"/>
    </font>
    <font>
      <b/>
      <sz val="10"/>
      <name val="Calibri"/>
      <family val="2"/>
      <scheme val="minor"/>
    </font>
    <font>
      <sz val="9"/>
      <name val="Arial"/>
      <family val="2"/>
    </font>
    <font>
      <sz val="10"/>
      <name val="Calibri"/>
      <family val="2"/>
      <scheme val="minor"/>
    </font>
    <font>
      <b/>
      <sz val="14"/>
      <name val="Calibri"/>
      <family val="2"/>
      <scheme val="minor"/>
    </font>
    <font>
      <sz val="10"/>
      <name val="Arial"/>
      <family val="2"/>
    </font>
    <font>
      <sz val="11"/>
      <name val="Calibri"/>
      <family val="2"/>
    </font>
    <font>
      <sz val="11"/>
      <name val="Arial"/>
      <family val="2"/>
    </font>
    <font>
      <sz val="10"/>
      <name val="Calibri"/>
      <family val="2"/>
    </font>
    <font>
      <b/>
      <sz val="12"/>
      <color theme="4"/>
      <name val="Arial"/>
      <family val="2"/>
    </font>
    <font>
      <sz val="11"/>
      <color rgb="FF000000"/>
      <name val="Calibri"/>
      <family val="2"/>
    </font>
    <font>
      <sz val="10"/>
      <color theme="1"/>
      <name val="Calibri"/>
      <family val="2"/>
    </font>
    <font>
      <sz val="11"/>
      <color rgb="FFFF0000"/>
      <name val="Calibri"/>
      <family val="2"/>
    </font>
    <font>
      <sz val="11"/>
      <color theme="1"/>
      <name val="Calibri"/>
      <family val="2"/>
    </font>
    <font>
      <b/>
      <sz val="11"/>
      <color rgb="FFFF0000"/>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indexed="64"/>
      </patternFill>
    </fill>
  </fills>
  <borders count="38">
    <border>
      <left/>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right style="double">
        <color indexed="64"/>
      </right>
      <top/>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theme="2"/>
      </left>
      <right/>
      <top/>
      <bottom style="double">
        <color theme="2"/>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diagonal/>
    </border>
  </borders>
  <cellStyleXfs count="1">
    <xf numFmtId="0" fontId="0" fillId="0" borderId="0" applyProtection="0"/>
  </cellStyleXfs>
  <cellXfs count="155">
    <xf numFmtId="0" fontId="0" fillId="0" borderId="0" xfId="0"/>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9" xfId="0" applyBorder="1"/>
    <xf numFmtId="0" fontId="0" fillId="0" borderId="20" xfId="0" applyBorder="1"/>
    <xf numFmtId="0" fontId="0" fillId="0" borderId="21" xfId="0" applyBorder="1"/>
    <xf numFmtId="0" fontId="0" fillId="0" borderId="15" xfId="0" applyBorder="1" applyAlignment="1">
      <alignment horizontal="center"/>
    </xf>
    <xf numFmtId="0" fontId="0" fillId="0" borderId="0" xfId="0" applyAlignment="1">
      <alignment horizontal="center" vertical="center"/>
    </xf>
    <xf numFmtId="0" fontId="0" fillId="0" borderId="15" xfId="0" applyBorder="1" applyAlignment="1">
      <alignment horizontal="center" vertical="center"/>
    </xf>
    <xf numFmtId="0" fontId="0" fillId="0" borderId="0" xfId="0" applyAlignment="1">
      <alignment horizontal="center"/>
    </xf>
    <xf numFmtId="0" fontId="0" fillId="0" borderId="20" xfId="0"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1" fillId="0" borderId="15" xfId="0" applyFont="1" applyBorder="1" applyAlignment="1">
      <alignment horizontal="center"/>
    </xf>
    <xf numFmtId="0" fontId="1" fillId="0" borderId="0" xfId="0" applyFont="1" applyAlignment="1" applyProtection="1">
      <alignment horizontal="center" vertical="top"/>
      <protection locked="0"/>
    </xf>
    <xf numFmtId="0" fontId="1" fillId="0" borderId="0" xfId="0" applyFont="1" applyAlignment="1" applyProtection="1">
      <alignment horizontal="center" vertical="top" wrapText="1"/>
    </xf>
    <xf numFmtId="0" fontId="1" fillId="0" borderId="4" xfId="0" applyFont="1" applyBorder="1" applyAlignment="1" applyProtection="1">
      <alignment wrapText="1"/>
    </xf>
    <xf numFmtId="0" fontId="0" fillId="0" borderId="23" xfId="0" applyBorder="1" applyAlignment="1" applyProtection="1">
      <alignment horizontal="center" vertical="center" wrapText="1"/>
    </xf>
    <xf numFmtId="0" fontId="0" fillId="0" borderId="6" xfId="0" applyBorder="1" applyAlignment="1" applyProtection="1">
      <alignment horizontal="center" vertical="center" wrapText="1"/>
    </xf>
    <xf numFmtId="0" fontId="1" fillId="0" borderId="2" xfId="0" applyFont="1" applyBorder="1" applyAlignment="1" applyProtection="1">
      <alignment wrapText="1"/>
    </xf>
    <xf numFmtId="0" fontId="1" fillId="0" borderId="3" xfId="0" applyFont="1" applyBorder="1" applyAlignment="1" applyProtection="1">
      <alignment wrapText="1"/>
    </xf>
    <xf numFmtId="0" fontId="0" fillId="0" borderId="0" xfId="0" applyAlignment="1" applyProtection="1">
      <alignment horizontal="center" vertical="center" wrapText="1"/>
    </xf>
    <xf numFmtId="0" fontId="1" fillId="0" borderId="5" xfId="0" applyFont="1" applyBorder="1" applyAlignment="1" applyProtection="1">
      <alignment wrapText="1"/>
    </xf>
    <xf numFmtId="0" fontId="0" fillId="0" borderId="1" xfId="0" applyBorder="1" applyAlignment="1" applyProtection="1">
      <alignment horizontal="center" vertical="center" wrapText="1"/>
    </xf>
    <xf numFmtId="0" fontId="1" fillId="0" borderId="0" xfId="0" applyFont="1" applyAlignment="1" applyProtection="1">
      <alignment wrapText="1"/>
    </xf>
    <xf numFmtId="0" fontId="1" fillId="0" borderId="22" xfId="0" applyFont="1" applyBorder="1" applyAlignment="1" applyProtection="1">
      <alignment wrapText="1"/>
    </xf>
    <xf numFmtId="0" fontId="6" fillId="0" borderId="22" xfId="0" applyFont="1" applyBorder="1" applyAlignment="1" applyProtection="1">
      <alignment wrapText="1"/>
    </xf>
    <xf numFmtId="2" fontId="10" fillId="0" borderId="29" xfId="0" applyNumberFormat="1" applyFont="1" applyBorder="1" applyAlignment="1">
      <alignment horizontal="left" vertical="top" wrapText="1"/>
    </xf>
    <xf numFmtId="2" fontId="11" fillId="5" borderId="29" xfId="0" applyNumberFormat="1" applyFont="1" applyFill="1" applyBorder="1" applyAlignment="1">
      <alignment horizontal="left" vertical="top" wrapText="1"/>
    </xf>
    <xf numFmtId="0" fontId="13" fillId="5" borderId="29" xfId="0" applyFont="1" applyFill="1" applyBorder="1" applyAlignment="1">
      <alignment vertical="top" wrapText="1"/>
    </xf>
    <xf numFmtId="0" fontId="12" fillId="5" borderId="29" xfId="0" applyFont="1" applyFill="1" applyBorder="1" applyAlignment="1">
      <alignment horizontal="left" vertical="top" wrapText="1"/>
    </xf>
    <xf numFmtId="0" fontId="6" fillId="5" borderId="29" xfId="0" applyFont="1" applyFill="1" applyBorder="1" applyAlignment="1">
      <alignment vertical="top" wrapText="1"/>
    </xf>
    <xf numFmtId="2" fontId="10" fillId="0" borderId="0" xfId="0" applyNumberFormat="1" applyFont="1" applyAlignment="1">
      <alignment horizontal="right" vertical="top" wrapText="1"/>
    </xf>
    <xf numFmtId="0" fontId="10" fillId="0" borderId="0" xfId="0" applyFont="1" applyAlignment="1">
      <alignment vertical="top" wrapText="1"/>
    </xf>
    <xf numFmtId="0" fontId="12" fillId="0" borderId="0" xfId="0" applyFont="1"/>
    <xf numFmtId="0" fontId="14" fillId="0" borderId="2" xfId="0" applyFont="1" applyBorder="1" applyAlignment="1">
      <alignment vertical="top" wrapText="1"/>
    </xf>
    <xf numFmtId="0" fontId="15" fillId="0" borderId="3" xfId="0" applyFont="1" applyBorder="1" applyAlignment="1">
      <alignment wrapText="1"/>
    </xf>
    <xf numFmtId="0" fontId="16" fillId="0" borderId="4" xfId="0" applyFont="1" applyBorder="1" applyAlignment="1">
      <alignment wrapText="1"/>
    </xf>
    <xf numFmtId="0" fontId="17" fillId="0" borderId="22" xfId="0" applyFont="1" applyBorder="1"/>
    <xf numFmtId="0" fontId="17" fillId="0" borderId="0" xfId="0" applyFont="1"/>
    <xf numFmtId="0" fontId="18" fillId="0" borderId="23" xfId="0" applyFont="1" applyBorder="1"/>
    <xf numFmtId="0" fontId="17" fillId="0" borderId="5" xfId="0" applyFont="1" applyBorder="1"/>
    <xf numFmtId="0" fontId="17" fillId="0" borderId="1" xfId="0" applyFont="1" applyBorder="1"/>
    <xf numFmtId="0" fontId="18" fillId="0" borderId="6" xfId="0" applyFont="1" applyBorder="1"/>
    <xf numFmtId="0" fontId="6" fillId="4" borderId="29" xfId="0" applyFont="1" applyFill="1" applyBorder="1" applyAlignment="1">
      <alignment horizontal="center" wrapText="1"/>
    </xf>
    <xf numFmtId="0" fontId="6" fillId="4" borderId="29" xfId="0" applyFont="1" applyFill="1" applyBorder="1" applyAlignment="1">
      <alignment horizontal="center" vertical="top"/>
    </xf>
    <xf numFmtId="0" fontId="6" fillId="4" borderId="29" xfId="0" applyFont="1" applyFill="1" applyBorder="1" applyAlignment="1">
      <alignment horizontal="center" vertical="top" wrapText="1"/>
    </xf>
    <xf numFmtId="0" fontId="20" fillId="0" borderId="29" xfId="0" applyFont="1" applyBorder="1" applyAlignment="1">
      <alignment vertical="center" wrapText="1"/>
    </xf>
    <xf numFmtId="0" fontId="0" fillId="0" borderId="29" xfId="0" applyBorder="1" applyAlignment="1">
      <alignment vertical="center" wrapText="1"/>
    </xf>
    <xf numFmtId="0" fontId="21" fillId="0" borderId="29" xfId="0" applyFont="1" applyBorder="1" applyAlignment="1">
      <alignment vertical="center" wrapText="1"/>
    </xf>
    <xf numFmtId="0" fontId="12" fillId="0" borderId="29" xfId="0" applyFont="1" applyBorder="1" applyAlignment="1">
      <alignment vertical="center" wrapText="1"/>
    </xf>
    <xf numFmtId="0" fontId="22" fillId="0" borderId="29" xfId="0" applyFont="1" applyBorder="1" applyAlignment="1">
      <alignment vertical="center" wrapText="1"/>
    </xf>
    <xf numFmtId="0" fontId="23" fillId="0" borderId="29" xfId="0" applyFont="1" applyBorder="1" applyAlignment="1">
      <alignment vertical="center" wrapText="1"/>
    </xf>
    <xf numFmtId="0" fontId="0" fillId="0" borderId="0" xfId="0" applyAlignment="1" applyProtection="1">
      <alignment wrapText="1"/>
      <protection locked="0"/>
    </xf>
    <xf numFmtId="0" fontId="0" fillId="3" borderId="24" xfId="0" applyFill="1" applyBorder="1" applyAlignment="1" applyProtection="1">
      <alignment wrapText="1"/>
      <protection locked="0"/>
    </xf>
    <xf numFmtId="0" fontId="0" fillId="0" borderId="0" xfId="0" applyProtection="1">
      <protection locked="0"/>
    </xf>
    <xf numFmtId="0" fontId="0" fillId="0" borderId="0" xfId="0" applyAlignment="1" applyProtection="1">
      <alignment wrapText="1"/>
    </xf>
    <xf numFmtId="0" fontId="0" fillId="3" borderId="0" xfId="0" applyFill="1" applyAlignment="1" applyProtection="1">
      <alignment wrapText="1"/>
    </xf>
    <xf numFmtId="0" fontId="0" fillId="0" borderId="4" xfId="0" applyBorder="1" applyAlignment="1" applyProtection="1">
      <alignment horizontal="center" vertical="center" wrapText="1"/>
    </xf>
    <xf numFmtId="0" fontId="0" fillId="3" borderId="25" xfId="0" applyFill="1" applyBorder="1" applyAlignment="1" applyProtection="1">
      <alignment wrapText="1"/>
      <protection locked="0"/>
    </xf>
    <xf numFmtId="0" fontId="0" fillId="0" borderId="26" xfId="0" applyBorder="1" applyAlignment="1" applyProtection="1">
      <alignment wrapText="1"/>
      <protection locked="0"/>
    </xf>
    <xf numFmtId="0" fontId="0" fillId="0" borderId="0" xfId="0" applyAlignment="1" applyProtection="1">
      <alignment horizontal="left" vertical="top" wrapText="1"/>
      <protection locked="0"/>
    </xf>
    <xf numFmtId="0" fontId="0" fillId="3" borderId="24" xfId="0" applyFill="1" applyBorder="1" applyProtection="1">
      <protection locked="0"/>
    </xf>
    <xf numFmtId="2" fontId="10" fillId="0" borderId="0" xfId="0" applyNumberFormat="1" applyFont="1" applyAlignment="1" applyProtection="1">
      <alignment horizontal="right" vertical="top" wrapText="1"/>
    </xf>
    <xf numFmtId="0" fontId="10" fillId="0" borderId="0" xfId="0" applyFont="1" applyAlignment="1" applyProtection="1">
      <alignment vertical="top" wrapText="1"/>
    </xf>
    <xf numFmtId="0" fontId="12" fillId="0" borderId="0" xfId="0" applyFont="1" applyAlignment="1" applyProtection="1">
      <alignment vertical="top" wrapText="1"/>
    </xf>
    <xf numFmtId="0" fontId="1" fillId="0" borderId="2"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0" fillId="0" borderId="14" xfId="0" applyBorder="1" applyProtection="1"/>
    <xf numFmtId="0" fontId="1" fillId="3" borderId="30" xfId="0" applyFont="1" applyFill="1" applyBorder="1" applyAlignment="1" applyProtection="1">
      <alignment horizontal="right"/>
    </xf>
    <xf numFmtId="0" fontId="6" fillId="4" borderId="29" xfId="0" applyFont="1" applyFill="1" applyBorder="1" applyAlignment="1" applyProtection="1">
      <alignment horizontal="center" vertical="center" wrapText="1"/>
    </xf>
    <xf numFmtId="2" fontId="10" fillId="0" borderId="29" xfId="0" applyNumberFormat="1" applyFont="1" applyBorder="1" applyAlignment="1" applyProtection="1">
      <alignment horizontal="left" vertical="top" wrapText="1"/>
    </xf>
    <xf numFmtId="0" fontId="10" fillId="0" borderId="10" xfId="0" applyFont="1" applyBorder="1" applyAlignment="1" applyProtection="1">
      <alignment vertical="top" wrapText="1"/>
    </xf>
    <xf numFmtId="0" fontId="11" fillId="0" borderId="29" xfId="0" applyFont="1" applyBorder="1" applyAlignment="1" applyProtection="1">
      <alignment horizontal="center" vertical="top" wrapText="1"/>
    </xf>
    <xf numFmtId="0" fontId="11" fillId="0" borderId="0" xfId="0" applyFont="1" applyAlignment="1" applyProtection="1">
      <alignment vertical="center" wrapText="1"/>
    </xf>
    <xf numFmtId="0" fontId="11" fillId="0" borderId="0" xfId="0" applyFont="1" applyAlignment="1" applyProtection="1">
      <alignment vertical="top" wrapText="1"/>
    </xf>
    <xf numFmtId="0" fontId="0" fillId="0" borderId="29" xfId="0" applyBorder="1" applyAlignment="1" applyProtection="1">
      <alignment horizontal="center" vertical="top" wrapText="1"/>
    </xf>
    <xf numFmtId="0" fontId="12" fillId="0" borderId="10" xfId="0" applyFont="1" applyBorder="1" applyAlignment="1" applyProtection="1">
      <alignment vertical="top" wrapText="1"/>
    </xf>
    <xf numFmtId="16" fontId="11" fillId="0" borderId="29" xfId="0" applyNumberFormat="1" applyFont="1" applyBorder="1" applyAlignment="1" applyProtection="1">
      <alignment horizontal="center" vertical="top" wrapText="1"/>
    </xf>
    <xf numFmtId="0" fontId="0" fillId="0" borderId="29" xfId="0" applyBorder="1" applyAlignment="1" applyProtection="1">
      <alignment horizontal="center"/>
    </xf>
    <xf numFmtId="0" fontId="0" fillId="3" borderId="29" xfId="0" applyFill="1" applyBorder="1" applyAlignment="1" applyProtection="1">
      <alignment horizontal="center"/>
    </xf>
    <xf numFmtId="16" fontId="0" fillId="0" borderId="0" xfId="0" applyNumberFormat="1" applyAlignment="1" applyProtection="1">
      <alignment wrapText="1"/>
      <protection locked="0"/>
    </xf>
    <xf numFmtId="0" fontId="7" fillId="0" borderId="0" xfId="0" applyFont="1" applyAlignment="1" applyProtection="1">
      <alignment wrapText="1"/>
      <protection locked="0"/>
    </xf>
    <xf numFmtId="0" fontId="10" fillId="0" borderId="0" xfId="0" applyFont="1" applyAlignment="1" applyProtection="1">
      <alignment vertical="top" wrapText="1"/>
      <protection locked="0"/>
    </xf>
    <xf numFmtId="2" fontId="10" fillId="0" borderId="0" xfId="0" applyNumberFormat="1" applyFont="1" applyAlignment="1" applyProtection="1">
      <alignment horizontal="right" vertical="top" wrapText="1"/>
      <protection locked="0"/>
    </xf>
    <xf numFmtId="0" fontId="2" fillId="3" borderId="24" xfId="0" applyFont="1" applyFill="1" applyBorder="1" applyAlignment="1" applyProtection="1">
      <alignment horizontal="center" vertical="top" wrapText="1"/>
    </xf>
    <xf numFmtId="0" fontId="0" fillId="0" borderId="15" xfId="0" applyBorder="1" applyAlignment="1" applyProtection="1">
      <alignment horizontal="center"/>
    </xf>
    <xf numFmtId="0" fontId="0" fillId="0" borderId="21" xfId="0" applyBorder="1" applyAlignment="1" applyProtection="1">
      <alignment horizontal="center"/>
    </xf>
    <xf numFmtId="0" fontId="0" fillId="0" borderId="19" xfId="0" applyBorder="1" applyProtection="1"/>
    <xf numFmtId="0" fontId="0" fillId="0" borderId="0" xfId="0" applyAlignment="1" applyProtection="1">
      <alignment horizontal="center"/>
      <protection locked="0"/>
    </xf>
    <xf numFmtId="0" fontId="0" fillId="0" borderId="20" xfId="0" applyBorder="1" applyAlignment="1" applyProtection="1">
      <alignment horizontal="center"/>
      <protection locked="0"/>
    </xf>
    <xf numFmtId="0" fontId="0" fillId="0" borderId="0" xfId="0" applyAlignment="1" applyProtection="1">
      <alignment horizontal="center" vertical="center"/>
      <protection locked="0"/>
    </xf>
    <xf numFmtId="0" fontId="0" fillId="0" borderId="37" xfId="0" applyBorder="1" applyAlignment="1">
      <alignment horizontal="center"/>
    </xf>
    <xf numFmtId="0" fontId="0" fillId="0" borderId="19" xfId="0" applyBorder="1" applyAlignment="1">
      <alignment horizontal="center"/>
    </xf>
    <xf numFmtId="0" fontId="0" fillId="0" borderId="15" xfId="0" applyBorder="1" applyAlignment="1" applyProtection="1">
      <alignment horizontal="center" vertical="center"/>
    </xf>
    <xf numFmtId="0" fontId="24" fillId="5" borderId="28" xfId="0" applyFont="1" applyFill="1" applyBorder="1" applyAlignment="1" applyProtection="1">
      <alignment horizontal="left" vertical="center"/>
      <protection locked="0"/>
    </xf>
    <xf numFmtId="0" fontId="20" fillId="0" borderId="0" xfId="0" applyFont="1" applyAlignment="1" applyProtection="1">
      <alignment wrapText="1"/>
      <protection locked="0"/>
    </xf>
    <xf numFmtId="0" fontId="26" fillId="6" borderId="0" xfId="0" applyFont="1" applyFill="1" applyProtection="1">
      <protection locked="0"/>
    </xf>
    <xf numFmtId="0" fontId="26" fillId="6" borderId="0" xfId="0" applyFont="1" applyFill="1" applyAlignment="1" applyProtection="1">
      <alignment wrapText="1"/>
      <protection locked="0"/>
    </xf>
    <xf numFmtId="0" fontId="28" fillId="0" borderId="0" xfId="0" applyFont="1" applyAlignment="1" applyProtection="1">
      <alignment wrapText="1"/>
      <protection locked="0"/>
    </xf>
    <xf numFmtId="0" fontId="29" fillId="0" borderId="0" xfId="0" applyFont="1" applyAlignment="1" applyProtection="1">
      <alignment horizontal="center" vertical="top" wrapText="1"/>
      <protection locked="0"/>
    </xf>
    <xf numFmtId="0" fontId="0" fillId="3" borderId="32" xfId="0" applyFill="1" applyBorder="1" applyAlignment="1" applyProtection="1">
      <alignment horizontal="center"/>
    </xf>
    <xf numFmtId="0" fontId="0" fillId="3" borderId="31" xfId="0" applyFill="1" applyBorder="1" applyAlignment="1" applyProtection="1">
      <alignment horizontal="center"/>
    </xf>
    <xf numFmtId="0" fontId="0" fillId="0" borderId="0" xfId="0" applyAlignment="1" applyProtection="1">
      <alignment horizontal="center"/>
      <protection locked="0"/>
    </xf>
    <xf numFmtId="0" fontId="0" fillId="0" borderId="15" xfId="0" applyBorder="1" applyAlignment="1" applyProtection="1">
      <alignment horizontal="center"/>
      <protection locked="0"/>
    </xf>
    <xf numFmtId="0" fontId="1" fillId="0" borderId="20" xfId="0" applyFont="1" applyBorder="1" applyAlignment="1" applyProtection="1">
      <alignment horizontal="center" wrapText="1"/>
      <protection locked="0"/>
    </xf>
    <xf numFmtId="0" fontId="1" fillId="2" borderId="30" xfId="0" applyFont="1" applyFill="1" applyBorder="1" applyAlignment="1" applyProtection="1">
      <alignment horizontal="center" wrapText="1"/>
    </xf>
    <xf numFmtId="0" fontId="1" fillId="2" borderId="32" xfId="0" applyFont="1" applyFill="1" applyBorder="1" applyAlignment="1" applyProtection="1">
      <alignment horizontal="center" wrapText="1"/>
    </xf>
    <xf numFmtId="0" fontId="1" fillId="2" borderId="31" xfId="0" applyFont="1" applyFill="1" applyBorder="1" applyAlignment="1" applyProtection="1">
      <alignment horizontal="center" wrapText="1"/>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wrapText="1"/>
      <protection locked="0"/>
    </xf>
    <xf numFmtId="0" fontId="0" fillId="0" borderId="15" xfId="0" applyBorder="1" applyAlignment="1" applyProtection="1">
      <alignment horizontal="center" wrapText="1"/>
      <protection locked="0"/>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7" xfId="0" applyFill="1" applyBorder="1" applyAlignment="1">
      <alignment horizontal="center" vertical="center" wrapText="1"/>
    </xf>
    <xf numFmtId="0" fontId="3" fillId="2" borderId="10" xfId="0" applyFont="1" applyFill="1" applyBorder="1" applyAlignment="1">
      <alignment horizontal="center"/>
    </xf>
    <xf numFmtId="0" fontId="3" fillId="2" borderId="18" xfId="0" applyFont="1" applyFill="1" applyBorder="1" applyAlignment="1">
      <alignment horizontal="center"/>
    </xf>
    <xf numFmtId="0" fontId="0" fillId="0" borderId="14" xfId="0" applyBorder="1"/>
    <xf numFmtId="0" fontId="0" fillId="0" borderId="0" xfId="0"/>
    <xf numFmtId="0" fontId="0" fillId="0" borderId="15" xfId="0" applyBorder="1"/>
    <xf numFmtId="0" fontId="0" fillId="0" borderId="14" xfId="0" applyBorder="1" applyAlignment="1">
      <alignment horizontal="left" vertical="top"/>
    </xf>
    <xf numFmtId="0" fontId="0" fillId="0" borderId="0" xfId="0" applyAlignment="1">
      <alignment horizontal="left" vertical="top"/>
    </xf>
    <xf numFmtId="0" fontId="0" fillId="0" borderId="14" xfId="0" applyBorder="1" applyAlignment="1">
      <alignment vertical="top"/>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3" xfId="0" applyBorder="1"/>
    <xf numFmtId="0" fontId="0" fillId="0" borderId="16" xfId="0" applyBorder="1"/>
    <xf numFmtId="0" fontId="0" fillId="0" borderId="20" xfId="0" applyBorder="1"/>
    <xf numFmtId="0" fontId="0" fillId="0" borderId="21" xfId="0" applyBorder="1"/>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9" xfId="0" applyBorder="1" applyAlignment="1">
      <alignment vertical="top"/>
    </xf>
    <xf numFmtId="0" fontId="0" fillId="0" borderId="15"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9" fillId="4" borderId="10" xfId="0" applyFont="1" applyFill="1" applyBorder="1" applyAlignment="1" applyProtection="1">
      <alignment horizontal="center" vertical="center" wrapText="1"/>
    </xf>
    <xf numFmtId="0" fontId="9" fillId="4" borderId="28" xfId="0" applyFont="1" applyFill="1" applyBorder="1" applyAlignment="1" applyProtection="1">
      <alignment horizontal="center" vertical="center" wrapText="1"/>
    </xf>
    <xf numFmtId="0" fontId="6" fillId="5" borderId="29" xfId="0" applyFont="1" applyFill="1" applyBorder="1" applyAlignment="1">
      <alignment horizontal="center" vertical="top" wrapText="1"/>
    </xf>
    <xf numFmtId="0" fontId="8" fillId="0" borderId="10" xfId="0" applyFont="1" applyBorder="1" applyAlignment="1" applyProtection="1">
      <alignment horizontal="left"/>
    </xf>
    <xf numFmtId="0" fontId="8" fillId="0" borderId="27" xfId="0" applyFont="1" applyBorder="1" applyAlignment="1" applyProtection="1">
      <alignment horizontal="left"/>
    </xf>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0</xdr:row>
      <xdr:rowOff>142876</xdr:rowOff>
    </xdr:from>
    <xdr:to>
      <xdr:col>2</xdr:col>
      <xdr:colOff>19050</xdr:colOff>
      <xdr:row>0</xdr:row>
      <xdr:rowOff>1130127</xdr:rowOff>
    </xdr:to>
    <xdr:pic>
      <xdr:nvPicPr>
        <xdr:cNvPr id="3" name="Picture 2" descr="Screen Shot 2015-03-11 at 10.50.32 AM.png">
          <a:extLst>
            <a:ext uri="{FF2B5EF4-FFF2-40B4-BE49-F238E27FC236}">
              <a16:creationId xmlns:a16="http://schemas.microsoft.com/office/drawing/2014/main" id="{625CA487-A7E6-4CD2-8D94-2F6184FF09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 y="142876"/>
          <a:ext cx="4048125" cy="987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230ED-15D9-4079-BE3B-A424EDD1BAFC}">
  <dimension ref="A1:H107"/>
  <sheetViews>
    <sheetView tabSelected="1" topLeftCell="A50" zoomScale="125" zoomScaleNormal="125" workbookViewId="0">
      <pane xSplit="1" topLeftCell="B1" activePane="topRight" state="frozen"/>
      <selection pane="topRight" activeCell="F51" sqref="F51"/>
    </sheetView>
  </sheetViews>
  <sheetFormatPr defaultColWidth="9.140625" defaultRowHeight="15" x14ac:dyDescent="0.25"/>
  <cols>
    <col min="1" max="1" width="9" style="58" customWidth="1"/>
    <col min="2" max="2" width="45.42578125" style="58" customWidth="1"/>
    <col min="3" max="3" width="12.42578125" style="58" customWidth="1"/>
    <col min="4" max="4" width="9.42578125" style="58" bestFit="1" customWidth="1"/>
    <col min="5" max="5" width="12.28515625" style="65" hidden="1" customWidth="1"/>
    <col min="6" max="6" width="61.42578125" style="58" customWidth="1"/>
    <col min="7" max="7" width="43.28515625" style="58" customWidth="1"/>
    <col min="8" max="8" width="27.140625" style="85" customWidth="1"/>
    <col min="9" max="16384" width="9.140625" style="58"/>
  </cols>
  <sheetData>
    <row r="1" spans="1:8" ht="30" customHeight="1" x14ac:dyDescent="0.25">
      <c r="A1" s="27" t="s">
        <v>0</v>
      </c>
      <c r="B1" s="85" t="s">
        <v>183</v>
      </c>
      <c r="C1" s="56"/>
      <c r="D1" s="56"/>
      <c r="E1" s="57"/>
      <c r="F1" s="102" t="s">
        <v>115</v>
      </c>
      <c r="G1" s="56"/>
    </row>
    <row r="2" spans="1:8" s="17" customFormat="1" ht="30.75" customHeight="1" x14ac:dyDescent="0.25">
      <c r="A2" s="18" t="s">
        <v>1</v>
      </c>
      <c r="B2" s="18" t="s">
        <v>2</v>
      </c>
      <c r="C2" s="18" t="s">
        <v>3</v>
      </c>
      <c r="D2" s="18" t="s">
        <v>4</v>
      </c>
      <c r="E2" s="88" t="s">
        <v>5</v>
      </c>
      <c r="F2" s="18" t="s">
        <v>6</v>
      </c>
      <c r="G2" s="18" t="s">
        <v>7</v>
      </c>
      <c r="H2" s="103"/>
    </row>
    <row r="3" spans="1:8" x14ac:dyDescent="0.25">
      <c r="A3" s="66">
        <v>1.01</v>
      </c>
      <c r="B3" s="67" t="s">
        <v>8</v>
      </c>
      <c r="C3" s="56" t="s">
        <v>113</v>
      </c>
      <c r="D3" s="59">
        <f>IF(C3="Y",-3,IF(C3="N",0," "))</f>
        <v>0</v>
      </c>
      <c r="E3" s="57"/>
      <c r="F3" s="99" t="s">
        <v>114</v>
      </c>
      <c r="G3" s="64"/>
    </row>
    <row r="4" spans="1:8" ht="30" x14ac:dyDescent="0.25">
      <c r="A4" s="66">
        <v>1.02</v>
      </c>
      <c r="B4" s="67" t="s">
        <v>9</v>
      </c>
      <c r="C4" s="56"/>
      <c r="D4" s="59" t="str">
        <f>IF(C4="n",VLOOKUP(LUT!C5,LUT!C4:E52,2),IF(C4="y",VLOOKUP(LUT!C5,LUT!C4:E52,3)," "))</f>
        <v xml:space="preserve"> </v>
      </c>
      <c r="E4" s="57"/>
      <c r="F4" s="64"/>
      <c r="G4" s="64"/>
    </row>
    <row r="5" spans="1:8" x14ac:dyDescent="0.25">
      <c r="A5" s="66">
        <v>1.03</v>
      </c>
      <c r="B5" s="67" t="s">
        <v>10</v>
      </c>
      <c r="C5" s="56"/>
      <c r="D5" s="59" t="str">
        <f>IF(C5="Y",1,IF(C5="N",-1," "))</f>
        <v xml:space="preserve"> </v>
      </c>
      <c r="E5" s="57"/>
      <c r="F5" s="64"/>
      <c r="G5" s="64"/>
    </row>
    <row r="6" spans="1:8" ht="75" x14ac:dyDescent="0.25">
      <c r="A6" s="66">
        <v>2.0099999999999998</v>
      </c>
      <c r="B6" s="67" t="s">
        <v>11</v>
      </c>
      <c r="C6" s="56">
        <v>2</v>
      </c>
      <c r="D6" s="60"/>
      <c r="E6" s="57"/>
      <c r="F6" s="99" t="s">
        <v>116</v>
      </c>
      <c r="G6" s="99" t="s">
        <v>117</v>
      </c>
    </row>
    <row r="7" spans="1:8" ht="30" x14ac:dyDescent="0.25">
      <c r="A7" s="66">
        <v>2.02</v>
      </c>
      <c r="B7" s="67" t="s">
        <v>12</v>
      </c>
      <c r="C7" s="56">
        <v>3</v>
      </c>
      <c r="D7" s="60"/>
      <c r="E7" s="57"/>
      <c r="F7" s="99" t="s">
        <v>117</v>
      </c>
      <c r="G7" s="64"/>
    </row>
    <row r="8" spans="1:8" ht="30" x14ac:dyDescent="0.25">
      <c r="A8" s="66">
        <v>2.0299999999999998</v>
      </c>
      <c r="B8" s="67" t="s">
        <v>13</v>
      </c>
      <c r="C8" s="56" t="s">
        <v>118</v>
      </c>
      <c r="D8" s="59">
        <f>IF(C8="y",1,IF(C8="n",0," "))</f>
        <v>1</v>
      </c>
      <c r="E8" s="57"/>
      <c r="F8" s="99" t="s">
        <v>117</v>
      </c>
      <c r="G8" s="99"/>
    </row>
    <row r="9" spans="1:8" ht="120" x14ac:dyDescent="0.25">
      <c r="A9" s="66">
        <v>2.04</v>
      </c>
      <c r="B9" s="67" t="s">
        <v>14</v>
      </c>
      <c r="C9" s="56" t="s">
        <v>118</v>
      </c>
      <c r="D9" s="59">
        <f>IF(C9="y",1,IF(C9="n",0," "))</f>
        <v>1</v>
      </c>
      <c r="E9" s="57"/>
      <c r="F9" s="99" t="s">
        <v>117</v>
      </c>
      <c r="G9" s="99"/>
    </row>
    <row r="10" spans="1:8" ht="30" x14ac:dyDescent="0.25">
      <c r="A10" s="66">
        <v>2.0499999999999998</v>
      </c>
      <c r="B10" s="67" t="s">
        <v>15</v>
      </c>
      <c r="C10" s="56" t="s">
        <v>118</v>
      </c>
      <c r="D10" s="60"/>
      <c r="E10" s="57"/>
      <c r="F10" s="58" t="s">
        <v>119</v>
      </c>
      <c r="G10" s="58" t="s">
        <v>120</v>
      </c>
    </row>
    <row r="11" spans="1:8" x14ac:dyDescent="0.25">
      <c r="A11" s="66">
        <v>3.01</v>
      </c>
      <c r="B11" s="67" t="s">
        <v>16</v>
      </c>
      <c r="C11" s="56" t="s">
        <v>118</v>
      </c>
      <c r="D11" s="59">
        <f>IF(C11="n",LOOKUP($C$10,LUT!$I$13:$L$13,LUT!$I$14:$L$14),IF(AND(C11="y",AND($C$6=1,$C$7=1)),2,IF(AND(C11="y",AND($C$6=1,$C$7=2)),1,IF(AND(C11="y",AND($C$6=1,$C$7=3)),1,IF(AND(C11="y",AND($C$6=2,$C$7=1)),2,IF(AND(C11="y",AND($C$6=2,$C$7=2)),2,IF(AND(C11="y",AND($C$6=2,$C$7=3)),1,IF(AND(C11="y",AND($C$6=3,$C$7=1)),2,IF(AND(C11="y",AND($C$6=3,$C$7=2)),2,IF(AND(C11="y",AND($C$6=3,$C$7=3)),2,""))))))))))</f>
        <v>1</v>
      </c>
      <c r="E11" s="57"/>
      <c r="F11" s="58" t="s">
        <v>121</v>
      </c>
    </row>
    <row r="12" spans="1:8" ht="75" x14ac:dyDescent="0.25">
      <c r="A12" s="66">
        <v>3.02</v>
      </c>
      <c r="B12" s="67" t="s">
        <v>17</v>
      </c>
      <c r="C12" s="56" t="s">
        <v>118</v>
      </c>
      <c r="D12" s="59">
        <f>IF(C12="n",LOOKUP($C$10,LUT!$I$13:$L$13,LUT!$I$15:$L$15),IF(AND(C12="y",AND($C$6=1,$C$7=1)),2,IF(AND(C12="y",AND($C$6=1,$C$7=2)),1,IF(AND(C12="y",AND($C$6=1,$C$7=3)),1,IF(AND(C12="y",AND($C$6=2,$C$7=1)),2,IF(AND(C12="y",AND($C$6=2,$C$7=2)),2,IF(AND(C12="y",AND($C$6=2,$C$7=3)),1,IF(AND(C12="y",AND($C$6=3,$C$7=1)),2,IF(AND(C12="y",AND($C$6=3,$C$7=2)),2,IF(AND(C12="y",AND($C$6=3,$C$7=3)),2,""))))))))))</f>
        <v>1</v>
      </c>
      <c r="E12" s="57"/>
      <c r="F12" s="101" t="s">
        <v>127</v>
      </c>
      <c r="G12" s="56" t="s">
        <v>128</v>
      </c>
    </row>
    <row r="13" spans="1:8" ht="75" x14ac:dyDescent="0.25">
      <c r="A13" s="66">
        <v>3.03</v>
      </c>
      <c r="B13" s="67" t="s">
        <v>18</v>
      </c>
      <c r="C13" s="56" t="s">
        <v>93</v>
      </c>
      <c r="D13" s="59" t="str">
        <f>IF(C13="n",LOOKUP($C$10,LUT!$I$13:$L$13,LUT!$I$15:$L$15),IF(AND(C13="y",AND($C$6=1,$C$7=1)),4,IF(AND(C13="y",AND($C$6=1,$C$7=2)),2,IF(AND(C13="y",AND($C$6=1,$C$7=3)),1,IF(AND(C13="y",AND($C$6=2,$C$7=1)),4,IF(AND(C13="y",AND($C$6=2,$C$7=2)),3,IF(AND(C13="y",AND($C$6=2,$C$7=3)),2,IF(AND(C13="y",AND($C$6=3,$C$7=1)),4,IF(AND(C13="y",AND($C$6=3,$C$7=2)),4,IF(AND(C13="y",AND($C$6=3,$C$7=3)),4,""))))))))))</f>
        <v/>
      </c>
      <c r="E13" s="57"/>
      <c r="F13" s="100" t="s">
        <v>133</v>
      </c>
      <c r="G13" s="64" t="s">
        <v>134</v>
      </c>
    </row>
    <row r="14" spans="1:8" ht="75" x14ac:dyDescent="0.25">
      <c r="A14" s="66">
        <v>3.04</v>
      </c>
      <c r="B14" s="67" t="s">
        <v>19</v>
      </c>
      <c r="C14" s="56" t="s">
        <v>93</v>
      </c>
      <c r="D14" s="59" t="str">
        <f>IF(C14="n",LOOKUP($C$10,LUT!$I$13:$L$13,LUT!$I$15:$L$15),IF(AND(C14="y",AND($C$6=1,$C$7=1)),4,IF(AND(C14="y",AND($C$6=1,$C$7=2)),2,IF(AND(C14="y",AND($C$6=1,$C$7=3)),1,IF(AND(C14="y",AND($C$6=2,$C$7=1)),4,IF(AND(C14="y",AND($C$6=2,$C$7=2)),3,IF(AND(C14="y",AND($C$6=2,$C$7=3)),2,IF(AND(C14="y",AND($C$6=3,$C$7=1)),4,IF(AND(C14="y",AND($C$6=3,$C$7=2)),4,IF(AND(C14="y",AND($C$6=3,$C$7=3)),4,""))))))))))</f>
        <v/>
      </c>
      <c r="E14" s="57"/>
      <c r="F14" s="64" t="s">
        <v>136</v>
      </c>
      <c r="G14" s="64" t="s">
        <v>135</v>
      </c>
    </row>
    <row r="15" spans="1:8" ht="135" x14ac:dyDescent="0.25">
      <c r="A15" s="66">
        <v>3.05</v>
      </c>
      <c r="B15" s="67" t="s">
        <v>20</v>
      </c>
      <c r="C15" s="56" t="s">
        <v>118</v>
      </c>
      <c r="D15" s="59">
        <f>IF(C15="n",LOOKUP($C$10,LUT!$I$13:$L$13,LUT!$I$15:$L$15),IF(AND(C15="y",AND($C$6=1,$C$7=1)),2,IF(AND(C15="y",AND($C$6=1,$C$7=2)),1,IF(AND(C15="y",AND($C$6=1,$C$7=3)),1,IF(AND(C15="y",AND($C$6=2,$C$7=1)),2,IF(AND(C15="y",AND($C$6=2,$C$7=2)),2,IF(AND(C15="y",AND($C$6=2,$C$7=3)),1,IF(AND(C15="y",AND($C$6=3,$C$7=1)),2,IF(AND(C15="y",AND($C$6=3,$C$7=2)),2,IF(AND(C15="y",AND($C$6=3,$C$7=3)),2,""))))))))))</f>
        <v>1</v>
      </c>
      <c r="E15" s="57"/>
      <c r="F15" s="64" t="s">
        <v>129</v>
      </c>
      <c r="G15" s="64" t="s">
        <v>130</v>
      </c>
    </row>
    <row r="16" spans="1:8" x14ac:dyDescent="0.25">
      <c r="A16" s="66">
        <v>4.01</v>
      </c>
      <c r="B16" s="67" t="s">
        <v>21</v>
      </c>
      <c r="C16" s="56" t="s">
        <v>113</v>
      </c>
      <c r="D16" s="59">
        <f>IF(C16="y",VLOOKUP(LUT!C17,LUT!$C$4:$E$52,3),IF(C16="n",VLOOKUP(LUT!C17,LUT!$C$4:$E$52,2)," "))</f>
        <v>0</v>
      </c>
      <c r="E16" s="57"/>
      <c r="F16" s="64" t="s">
        <v>137</v>
      </c>
      <c r="G16" s="64"/>
    </row>
    <row r="17" spans="1:7" ht="90" x14ac:dyDescent="0.25">
      <c r="A17" s="66">
        <v>4.0199999999999996</v>
      </c>
      <c r="B17" s="67" t="s">
        <v>22</v>
      </c>
      <c r="C17" s="56" t="s">
        <v>93</v>
      </c>
      <c r="D17" s="59" t="str">
        <f>IF(C17="y",VLOOKUP(LUT!C18,LUT!C4:E52,3),IF(C17="n",VLOOKUP(LUT!C18,LUT!C4:E52,2)," "))</f>
        <v xml:space="preserve"> </v>
      </c>
      <c r="E17" s="57"/>
      <c r="F17" s="64" t="s">
        <v>138</v>
      </c>
      <c r="G17" s="64" t="s">
        <v>139</v>
      </c>
    </row>
    <row r="18" spans="1:7" x14ac:dyDescent="0.25">
      <c r="A18" s="66">
        <v>4.03</v>
      </c>
      <c r="B18" s="67" t="s">
        <v>23</v>
      </c>
      <c r="C18" s="56" t="s">
        <v>113</v>
      </c>
      <c r="D18" s="59">
        <f>IF(C18="y",VLOOKUP(LUT!C19,LUT!$C$4:$E$52,3),IF(C18="n",VLOOKUP(LUT!C19,LUT!$C$4:$E$52,2)," "))</f>
        <v>0</v>
      </c>
      <c r="E18" s="57"/>
      <c r="F18" s="64" t="s">
        <v>140</v>
      </c>
      <c r="G18" s="64"/>
    </row>
    <row r="19" spans="1:7" ht="45" x14ac:dyDescent="0.25">
      <c r="A19" s="66">
        <v>4.04</v>
      </c>
      <c r="B19" s="67" t="s">
        <v>24</v>
      </c>
      <c r="C19" s="56" t="s">
        <v>93</v>
      </c>
      <c r="D19" s="59" t="str">
        <f>IF(C19="y",VLOOKUP(LUT!C20,LUT!$C$4:$E$52,3),IF(C19="n",VLOOKUP(LUT!C20,LUT!$C$4:$E$52,2)," "))</f>
        <v xml:space="preserve"> </v>
      </c>
      <c r="E19" s="57"/>
      <c r="F19" s="64" t="s">
        <v>144</v>
      </c>
      <c r="G19" s="64" t="s">
        <v>145</v>
      </c>
    </row>
    <row r="20" spans="1:7" ht="150" x14ac:dyDescent="0.25">
      <c r="A20" s="66">
        <v>4.05</v>
      </c>
      <c r="B20" s="67" t="s">
        <v>25</v>
      </c>
      <c r="C20" s="56" t="s">
        <v>118</v>
      </c>
      <c r="D20" s="59">
        <f>IF(C20="y",VLOOKUP(LUT!C21,LUT!$C$4:$E$52,3),IF(C20="n",VLOOKUP(LUT!C21,LUT!$C$4:$E$52,2)," "))</f>
        <v>1</v>
      </c>
      <c r="E20" s="57"/>
      <c r="F20" s="64" t="s">
        <v>156</v>
      </c>
      <c r="G20" s="64" t="s">
        <v>157</v>
      </c>
    </row>
    <row r="21" spans="1:7" x14ac:dyDescent="0.25">
      <c r="A21" s="66">
        <v>4.0599999999999996</v>
      </c>
      <c r="B21" s="67" t="s">
        <v>26</v>
      </c>
      <c r="C21" s="56" t="s">
        <v>113</v>
      </c>
      <c r="D21" s="59">
        <f>IF(C21="y",VLOOKUP(LUT!C22,LUT!$C$4:$E$52,3),IF(C21="n",VLOOKUP(LUT!C22,LUT!$C$4:$E$52,2)," "))</f>
        <v>0</v>
      </c>
      <c r="E21" s="57"/>
      <c r="F21" s="64" t="s">
        <v>146</v>
      </c>
      <c r="G21" s="64"/>
    </row>
    <row r="22" spans="1:7" ht="120" x14ac:dyDescent="0.25">
      <c r="A22" s="66">
        <v>4.07</v>
      </c>
      <c r="B22" s="67" t="s">
        <v>27</v>
      </c>
      <c r="C22" s="56" t="s">
        <v>113</v>
      </c>
      <c r="D22" s="59">
        <f>IF(C22="y",VLOOKUP(LUT!C23,LUT!$C$4:$E$52,3),IF(C22="n",VLOOKUP(LUT!C23,LUT!$C$4:$E$52,2)," "))</f>
        <v>0</v>
      </c>
      <c r="E22" s="57"/>
      <c r="F22" s="64" t="s">
        <v>147</v>
      </c>
      <c r="G22" s="64" t="s">
        <v>143</v>
      </c>
    </row>
    <row r="23" spans="1:7" ht="90" x14ac:dyDescent="0.25">
      <c r="A23" s="66">
        <v>4.08</v>
      </c>
      <c r="B23" s="67" t="s">
        <v>28</v>
      </c>
      <c r="C23" s="56" t="s">
        <v>93</v>
      </c>
      <c r="D23" s="59" t="str">
        <f>IF(C23="y",VLOOKUP(LUT!C24,LUT!$C$4:$E$52,3),IF(C23="n",VLOOKUP(LUT!C24,LUT!$C$4:$E$52,2)," "))</f>
        <v xml:space="preserve"> </v>
      </c>
      <c r="E23" s="57"/>
      <c r="F23" s="64" t="s">
        <v>149</v>
      </c>
      <c r="G23" s="64" t="s">
        <v>148</v>
      </c>
    </row>
    <row r="24" spans="1:7" ht="75" x14ac:dyDescent="0.25">
      <c r="A24" s="66">
        <v>4.09</v>
      </c>
      <c r="B24" s="67" t="s">
        <v>29</v>
      </c>
      <c r="C24" s="56" t="s">
        <v>113</v>
      </c>
      <c r="D24" s="59">
        <f>IF(C24="y",VLOOKUP(LUT!C25,LUT!$C$4:$E$52,3),IF(C24="n",VLOOKUP(LUT!C25,LUT!$C$4:$E$52,2)," "))</f>
        <v>0</v>
      </c>
      <c r="E24" s="57"/>
      <c r="F24" s="64" t="s">
        <v>182</v>
      </c>
      <c r="G24" s="64" t="s">
        <v>150</v>
      </c>
    </row>
    <row r="25" spans="1:7" ht="105" x14ac:dyDescent="0.25">
      <c r="A25" s="66">
        <v>4.0999999999999996</v>
      </c>
      <c r="B25" s="68" t="s">
        <v>30</v>
      </c>
      <c r="C25" s="56" t="s">
        <v>113</v>
      </c>
      <c r="D25" s="59">
        <f>IF(C25="y",VLOOKUP(LUT!C26,LUT!$C$4:$E$52,3),IF(C25="n",VLOOKUP(LUT!C26,LUT!$C$4:$E$52,2)," "))</f>
        <v>0</v>
      </c>
      <c r="E25" s="57"/>
      <c r="F25" s="64" t="s">
        <v>165</v>
      </c>
      <c r="G25" s="64" t="s">
        <v>166</v>
      </c>
    </row>
    <row r="26" spans="1:7" x14ac:dyDescent="0.25">
      <c r="A26" s="66">
        <v>4.1100000000000003</v>
      </c>
      <c r="B26" s="67" t="s">
        <v>31</v>
      </c>
      <c r="C26" s="56" t="s">
        <v>113</v>
      </c>
      <c r="D26" s="59">
        <f>IF(C26="y",VLOOKUP(LUT!C27,LUT!$C$4:$E$52,3),IF(C26="n",VLOOKUP(LUT!C27,LUT!$C$4:$E$52,2)," "))</f>
        <v>0</v>
      </c>
      <c r="E26" s="57"/>
      <c r="F26" s="64" t="s">
        <v>151</v>
      </c>
      <c r="G26" s="64"/>
    </row>
    <row r="27" spans="1:7" x14ac:dyDescent="0.25">
      <c r="A27" s="66">
        <v>4.12</v>
      </c>
      <c r="B27" s="67" t="s">
        <v>32</v>
      </c>
      <c r="C27" s="56" t="s">
        <v>113</v>
      </c>
      <c r="D27" s="59">
        <f>IF(C27="y",VLOOKUP(LUT!C28,LUT!$C$4:$E$52,3),IF(C27="n",VLOOKUP(LUT!C28,LUT!$C$4:$E$52,2)," "))</f>
        <v>0</v>
      </c>
      <c r="E27" s="57"/>
      <c r="F27" s="64" t="s">
        <v>152</v>
      </c>
      <c r="G27" s="64"/>
    </row>
    <row r="28" spans="1:7" x14ac:dyDescent="0.25">
      <c r="A28" s="66">
        <v>5.01</v>
      </c>
      <c r="B28" s="67" t="s">
        <v>33</v>
      </c>
      <c r="C28" s="56" t="s">
        <v>113</v>
      </c>
      <c r="D28" s="59">
        <f>IF(C28="y",VLOOKUP(LUT!C29,LUT!$C$4:$E$52,3),IF(C28="n",VLOOKUP(LUT!C29,LUT!$C$4:$E$52,2)," "))</f>
        <v>0</v>
      </c>
      <c r="E28" s="57"/>
      <c r="F28" s="64" t="s">
        <v>153</v>
      </c>
      <c r="G28" s="64"/>
    </row>
    <row r="29" spans="1:7" x14ac:dyDescent="0.25">
      <c r="A29" s="66">
        <v>5.0199999999999996</v>
      </c>
      <c r="B29" s="67" t="s">
        <v>34</v>
      </c>
      <c r="C29" s="56" t="s">
        <v>113</v>
      </c>
      <c r="D29" s="59">
        <f>IF(C29="y",VLOOKUP(LUT!C30,LUT!$C$4:$E$52,3),IF(C29="n",VLOOKUP(LUT!C30,LUT!$C$4:$E$52,2)," "))</f>
        <v>0</v>
      </c>
      <c r="E29" s="57"/>
      <c r="F29" s="64" t="s">
        <v>154</v>
      </c>
      <c r="G29" s="64"/>
    </row>
    <row r="30" spans="1:7" x14ac:dyDescent="0.25">
      <c r="A30" s="66">
        <v>5.03</v>
      </c>
      <c r="B30" s="67" t="s">
        <v>35</v>
      </c>
      <c r="C30" s="56" t="s">
        <v>113</v>
      </c>
      <c r="D30" s="59">
        <f>IF(C30="y",VLOOKUP(LUT!C31,LUT!$C$4:$E$52,3),IF(C30="n",VLOOKUP(LUT!C31,LUT!$C$4:$E$52,2)," "))</f>
        <v>0</v>
      </c>
      <c r="E30" s="57"/>
      <c r="F30" s="64" t="s">
        <v>155</v>
      </c>
      <c r="G30" s="64"/>
    </row>
    <row r="31" spans="1:7" ht="75" x14ac:dyDescent="0.25">
      <c r="A31" s="66">
        <v>5.04</v>
      </c>
      <c r="B31" s="67" t="s">
        <v>36</v>
      </c>
      <c r="C31" s="56" t="s">
        <v>118</v>
      </c>
      <c r="D31" s="59">
        <f>IF(C31="y",VLOOKUP(LUT!C32,LUT!$C$4:$E$52,3),IF(C31="n",VLOOKUP(LUT!C32,LUT!$C$4:$E$52,2)," "))</f>
        <v>1</v>
      </c>
      <c r="E31" s="57"/>
      <c r="F31" s="64" t="s">
        <v>163</v>
      </c>
      <c r="G31" s="64" t="s">
        <v>164</v>
      </c>
    </row>
    <row r="32" spans="1:7" ht="30" x14ac:dyDescent="0.25">
      <c r="A32" s="66">
        <v>6.01</v>
      </c>
      <c r="B32" s="67" t="s">
        <v>37</v>
      </c>
      <c r="C32" s="56" t="s">
        <v>113</v>
      </c>
      <c r="D32" s="59">
        <f>IF(C32="y",VLOOKUP(LUT!C33,LUT!$C$4:$E$52,3),IF(C32="n",VLOOKUP(LUT!C33,LUT!$C$4:$E$52,2)," "))</f>
        <v>0</v>
      </c>
      <c r="E32" s="57"/>
      <c r="F32" s="64" t="s">
        <v>158</v>
      </c>
      <c r="G32" s="64"/>
    </row>
    <row r="33" spans="1:7" ht="75" x14ac:dyDescent="0.25">
      <c r="A33" s="66">
        <v>6.02</v>
      </c>
      <c r="B33" s="67" t="s">
        <v>38</v>
      </c>
      <c r="C33" s="56" t="s">
        <v>118</v>
      </c>
      <c r="D33" s="59">
        <f>IF(C33="y",VLOOKUP(LUT!C34,LUT!$C$4:$E$52,3),IF(C33="n",VLOOKUP(LUT!C34,LUT!$C$4:$E$52,2)," "))</f>
        <v>1</v>
      </c>
      <c r="E33" s="57"/>
      <c r="F33" s="64" t="s">
        <v>122</v>
      </c>
      <c r="G33" s="64" t="s">
        <v>128</v>
      </c>
    </row>
    <row r="34" spans="1:7" ht="75" x14ac:dyDescent="0.25">
      <c r="A34" s="66">
        <v>6.03</v>
      </c>
      <c r="B34" s="67" t="s">
        <v>39</v>
      </c>
      <c r="C34" s="56" t="s">
        <v>118</v>
      </c>
      <c r="D34" s="59">
        <f>IF(C34="y",VLOOKUP(LUT!C35,LUT!$C$4:$E$52,3),IF(C34="n",VLOOKUP(LUT!C35,LUT!$C$4:$E$52,2)," "))</f>
        <v>1</v>
      </c>
      <c r="E34" s="57"/>
      <c r="F34" s="64" t="s">
        <v>141</v>
      </c>
      <c r="G34" s="64" t="s">
        <v>142</v>
      </c>
    </row>
    <row r="35" spans="1:7" ht="75" x14ac:dyDescent="0.25">
      <c r="A35" s="66">
        <v>6.04</v>
      </c>
      <c r="B35" s="67" t="s">
        <v>40</v>
      </c>
      <c r="C35" s="56" t="s">
        <v>93</v>
      </c>
      <c r="D35" s="59" t="str">
        <f>IF(C35="y",VLOOKUP(LUT!C36,LUT!$C$4:$E$52,3),IF(C35="n",VLOOKUP(LUT!C36,LUT!$C$4:$E$52,2)," "))</f>
        <v xml:space="preserve"> </v>
      </c>
      <c r="E35" s="57"/>
      <c r="F35" s="64" t="s">
        <v>160</v>
      </c>
      <c r="G35" s="64" t="s">
        <v>159</v>
      </c>
    </row>
    <row r="36" spans="1:7" ht="90" x14ac:dyDescent="0.25">
      <c r="A36" s="66">
        <v>6.05</v>
      </c>
      <c r="B36" s="67" t="s">
        <v>41</v>
      </c>
      <c r="C36" s="56" t="s">
        <v>113</v>
      </c>
      <c r="D36" s="59">
        <f>IF(C36="y",VLOOKUP(LUT!C37,LUT!$C$4:$E$52,3),IF(C36="n",VLOOKUP(LUT!C37,LUT!$C$4:$E$52,2)," "))</f>
        <v>0</v>
      </c>
      <c r="E36" s="57"/>
      <c r="F36" s="64" t="s">
        <v>161</v>
      </c>
      <c r="G36" s="64" t="s">
        <v>162</v>
      </c>
    </row>
    <row r="37" spans="1:7" ht="90" x14ac:dyDescent="0.25">
      <c r="A37" s="66">
        <v>6.06</v>
      </c>
      <c r="B37" s="67" t="s">
        <v>42</v>
      </c>
      <c r="C37" s="56" t="s">
        <v>118</v>
      </c>
      <c r="D37" s="59">
        <f>IF(C37="y",VLOOKUP(LUT!C38,LUT!$C$4:$E$52,3),IF(C37="n",VLOOKUP(LUT!C38,LUT!$C$4:$E$52,2)," "))</f>
        <v>1</v>
      </c>
      <c r="E37" s="57"/>
      <c r="F37" s="64" t="s">
        <v>125</v>
      </c>
      <c r="G37" s="64" t="s">
        <v>126</v>
      </c>
    </row>
    <row r="38" spans="1:7" ht="45" x14ac:dyDescent="0.25">
      <c r="A38" s="66">
        <v>6.07</v>
      </c>
      <c r="B38" s="67" t="s">
        <v>43</v>
      </c>
      <c r="C38" s="84" t="s">
        <v>167</v>
      </c>
      <c r="D38" s="59">
        <f>IF(C38="1 or fewer",1,IF(C38="2 or 3",0,IF(C38&gt;="4 or more",-1," ")))</f>
        <v>1</v>
      </c>
      <c r="E38" s="57"/>
      <c r="F38" s="64" t="s">
        <v>168</v>
      </c>
      <c r="G38" s="64" t="s">
        <v>169</v>
      </c>
    </row>
    <row r="39" spans="1:7" ht="75" x14ac:dyDescent="0.25">
      <c r="A39" s="66">
        <v>7.01</v>
      </c>
      <c r="B39" s="67" t="s">
        <v>44</v>
      </c>
      <c r="C39" s="56" t="s">
        <v>118</v>
      </c>
      <c r="D39" s="59">
        <f>IF(C39="y",VLOOKUP(LUT!C40,LUT!$C$4:$E$52,3),IF(C39="n",VLOOKUP(LUT!C40,LUT!$C$4:$E$52,2)," "))</f>
        <v>1</v>
      </c>
      <c r="E39" s="57"/>
      <c r="F39" s="101" t="s">
        <v>170</v>
      </c>
      <c r="G39" s="56" t="s">
        <v>171</v>
      </c>
    </row>
    <row r="40" spans="1:7" ht="60" x14ac:dyDescent="0.25">
      <c r="A40" s="66">
        <v>7.02</v>
      </c>
      <c r="B40" s="67" t="s">
        <v>45</v>
      </c>
      <c r="C40" s="56" t="s">
        <v>118</v>
      </c>
      <c r="D40" s="59">
        <f>IF(C40="y",VLOOKUP(LUT!C41,LUT!$C$4:$E$52,3),IF(C40="n",VLOOKUP(LUT!C41,LUT!$C$4:$E$52,2)," "))</f>
        <v>1</v>
      </c>
      <c r="E40" s="57"/>
      <c r="F40" s="64" t="s">
        <v>131</v>
      </c>
      <c r="G40" s="64" t="s">
        <v>132</v>
      </c>
    </row>
    <row r="41" spans="1:7" ht="45" x14ac:dyDescent="0.25">
      <c r="A41" s="66">
        <v>7.03</v>
      </c>
      <c r="B41" s="67" t="s">
        <v>46</v>
      </c>
      <c r="C41" s="56" t="s">
        <v>93</v>
      </c>
      <c r="D41" s="59" t="str">
        <f>IF(C41="y",VLOOKUP(LUT!C42,LUT!$C$4:$E$52,3),IF(C41="n",VLOOKUP(LUT!C42,LUT!$C$4:$E$52,2)," "))</f>
        <v xml:space="preserve"> </v>
      </c>
      <c r="E41" s="57"/>
      <c r="F41" s="64" t="s">
        <v>172</v>
      </c>
      <c r="G41" s="64"/>
    </row>
    <row r="42" spans="1:7" x14ac:dyDescent="0.25">
      <c r="A42" s="66">
        <v>7.04</v>
      </c>
      <c r="B42" s="67" t="s">
        <v>47</v>
      </c>
      <c r="C42" s="56" t="s">
        <v>113</v>
      </c>
      <c r="D42" s="59">
        <f>IF(C42="y",VLOOKUP(LUT!C43,LUT!$C$4:$E$52,3),IF(C42="n",VLOOKUP(LUT!C43,LUT!$C$4:$E$52,2)," "))</f>
        <v>-1</v>
      </c>
      <c r="E42" s="57"/>
      <c r="F42" s="64" t="s">
        <v>173</v>
      </c>
      <c r="G42" s="64"/>
    </row>
    <row r="43" spans="1:7" ht="75" x14ac:dyDescent="0.25">
      <c r="A43" s="66">
        <v>7.05</v>
      </c>
      <c r="B43" s="67" t="s">
        <v>48</v>
      </c>
      <c r="C43" s="56" t="s">
        <v>118</v>
      </c>
      <c r="D43" s="59">
        <f>IF(C43="y",VLOOKUP(LUT!C44,LUT!$C$4:$E$52,3),IF(C43="n",VLOOKUP(LUT!C44,LUT!$C$4:$E$52,2)," "))</f>
        <v>1</v>
      </c>
      <c r="E43" s="57"/>
      <c r="F43" s="64" t="s">
        <v>174</v>
      </c>
      <c r="G43" s="64" t="s">
        <v>175</v>
      </c>
    </row>
    <row r="44" spans="1:7" x14ac:dyDescent="0.25">
      <c r="A44" s="66">
        <v>7.06</v>
      </c>
      <c r="B44" s="67" t="s">
        <v>49</v>
      </c>
      <c r="C44" s="56" t="s">
        <v>113</v>
      </c>
      <c r="D44" s="59">
        <f>IF(C44="y",VLOOKUP(LUT!C45,LUT!$C$4:$E$52,3),IF(C44="n",VLOOKUP(LUT!C45,LUT!$C$4:$E$52,2)," "))</f>
        <v>-1</v>
      </c>
      <c r="E44" s="57"/>
      <c r="F44" s="64" t="s">
        <v>176</v>
      </c>
      <c r="G44" s="64"/>
    </row>
    <row r="45" spans="1:7" ht="30" x14ac:dyDescent="0.25">
      <c r="A45" s="66">
        <v>7.07</v>
      </c>
      <c r="B45" s="67" t="s">
        <v>50</v>
      </c>
      <c r="C45" s="56" t="s">
        <v>113</v>
      </c>
      <c r="D45" s="59">
        <f>IF(C45="y",VLOOKUP(LUT!C46,LUT!$C$4:$E$52,3),IF(C45="n",VLOOKUP(LUT!C46,LUT!$C$4:$E$52,2)," "))</f>
        <v>-1</v>
      </c>
      <c r="E45" s="57"/>
      <c r="F45" s="64" t="s">
        <v>177</v>
      </c>
      <c r="G45" s="64"/>
    </row>
    <row r="46" spans="1:7" ht="30" x14ac:dyDescent="0.25">
      <c r="A46" s="66">
        <v>7.08</v>
      </c>
      <c r="B46" s="67" t="s">
        <v>51</v>
      </c>
      <c r="C46" s="56" t="s">
        <v>113</v>
      </c>
      <c r="D46" s="59">
        <f>IF(C46="y",VLOOKUP(LUT!C47,LUT!$C$4:$E$52,3),IF(C46="n",VLOOKUP(LUT!C47,LUT!$C$4:$E$52,2)," "))</f>
        <v>-1</v>
      </c>
      <c r="E46" s="57"/>
      <c r="F46" s="64" t="s">
        <v>177</v>
      </c>
      <c r="G46" s="64"/>
    </row>
    <row r="47" spans="1:7" ht="45" x14ac:dyDescent="0.25">
      <c r="A47" s="66">
        <v>8.01</v>
      </c>
      <c r="B47" s="67" t="s">
        <v>52</v>
      </c>
      <c r="C47" s="56" t="s">
        <v>113</v>
      </c>
      <c r="D47" s="59">
        <f>IF(C47="y",VLOOKUP(LUT!C48,LUT!$C$4:$E$52,3),IF(C47="n",VLOOKUP(LUT!C48,LUT!$C$4:$E$52,2)," "))</f>
        <v>-1</v>
      </c>
      <c r="E47" s="57"/>
      <c r="F47" s="64" t="s">
        <v>178</v>
      </c>
      <c r="G47" s="64" t="s">
        <v>123</v>
      </c>
    </row>
    <row r="48" spans="1:7" ht="45" x14ac:dyDescent="0.25">
      <c r="A48" s="66">
        <v>8.02</v>
      </c>
      <c r="B48" s="67" t="s">
        <v>53</v>
      </c>
      <c r="C48" s="56" t="s">
        <v>118</v>
      </c>
      <c r="D48" s="59">
        <f>IF(C48="y",VLOOKUP(LUT!C49,LUT!$C$4:$E$52,3),IF(C48="n",VLOOKUP(LUT!C49,LUT!$C$4:$E$52,2)," "))</f>
        <v>1</v>
      </c>
      <c r="E48" s="57"/>
      <c r="F48" s="64" t="s">
        <v>124</v>
      </c>
      <c r="G48" s="64" t="s">
        <v>123</v>
      </c>
    </row>
    <row r="49" spans="1:7" ht="60" x14ac:dyDescent="0.25">
      <c r="A49" s="66">
        <v>8.0299999999999994</v>
      </c>
      <c r="B49" s="67" t="s">
        <v>54</v>
      </c>
      <c r="C49" s="56" t="s">
        <v>118</v>
      </c>
      <c r="D49" s="59">
        <f>IF(C49="y",VLOOKUP(LUT!C50,LUT!$C$4:$E$52,3),IF(C49="n",VLOOKUP(LUT!C50,LUT!$C$4:$E$52,2)," "))</f>
        <v>-1</v>
      </c>
      <c r="E49" s="57"/>
      <c r="F49" s="64" t="s">
        <v>179</v>
      </c>
      <c r="G49" s="64" t="s">
        <v>180</v>
      </c>
    </row>
    <row r="50" spans="1:7" ht="90" x14ac:dyDescent="0.25">
      <c r="A50" s="66">
        <v>8.0399999999999991</v>
      </c>
      <c r="B50" s="67" t="s">
        <v>55</v>
      </c>
      <c r="C50" s="56" t="s">
        <v>118</v>
      </c>
      <c r="D50" s="59">
        <f>IF(C50="y",VLOOKUP(LUT!C51,LUT!$C$4:$E$52,3),IF(C50="n",VLOOKUP(LUT!C51,LUT!$C$4:$E$52,2)," "))</f>
        <v>1</v>
      </c>
      <c r="E50" s="57"/>
      <c r="F50" s="64" t="s">
        <v>125</v>
      </c>
      <c r="G50" s="64" t="s">
        <v>126</v>
      </c>
    </row>
    <row r="51" spans="1:7" x14ac:dyDescent="0.25">
      <c r="A51" s="66">
        <v>8.0500000000000007</v>
      </c>
      <c r="B51" s="67" t="s">
        <v>56</v>
      </c>
      <c r="C51" s="56" t="s">
        <v>93</v>
      </c>
      <c r="D51" s="59" t="str">
        <f>IF(C51="y",VLOOKUP(LUT!C52,LUT!$C$4:$E$52,3),IF(C51="n",VLOOKUP(LUT!C52,LUT!$C$4:$E$52,2)," "))</f>
        <v xml:space="preserve"> </v>
      </c>
      <c r="E51" s="57"/>
      <c r="F51" s="64" t="s">
        <v>181</v>
      </c>
      <c r="G51" s="64"/>
    </row>
    <row r="52" spans="1:7" ht="15.75" thickBot="1" x14ac:dyDescent="0.3">
      <c r="A52" s="87"/>
      <c r="B52" s="86"/>
      <c r="C52" s="56"/>
      <c r="D52" s="56"/>
      <c r="E52" s="57"/>
      <c r="F52" s="56"/>
      <c r="G52" s="56"/>
    </row>
    <row r="53" spans="1:7" ht="29.25" customHeight="1" thickTop="1" x14ac:dyDescent="0.25">
      <c r="A53" s="56"/>
      <c r="B53" s="56"/>
      <c r="C53" s="69" t="s">
        <v>57</v>
      </c>
      <c r="D53" s="61">
        <f>SUM(D3:D51)</f>
        <v>10</v>
      </c>
      <c r="E53" s="62"/>
      <c r="F53" s="56"/>
      <c r="G53" s="56"/>
    </row>
    <row r="54" spans="1:7" ht="33" customHeight="1" thickBot="1" x14ac:dyDescent="0.3">
      <c r="A54" s="56"/>
      <c r="B54" s="56"/>
      <c r="C54" s="70" t="s">
        <v>58</v>
      </c>
      <c r="D54" s="21" t="str">
        <f>IF(E60="no","more info needed",IF(D53&lt;1,"accept",IF(D53&gt;6,"reject","evaluate further")))</f>
        <v>reject</v>
      </c>
      <c r="E54" s="62"/>
      <c r="F54" s="56"/>
      <c r="G54" s="56"/>
    </row>
    <row r="55" spans="1:7" ht="16.5" thickTop="1" thickBot="1" x14ac:dyDescent="0.3">
      <c r="A55" s="56"/>
      <c r="B55" s="56"/>
      <c r="C55" s="56"/>
      <c r="D55" s="56"/>
      <c r="E55" s="57"/>
      <c r="F55" s="56"/>
      <c r="G55" s="56"/>
    </row>
    <row r="56" spans="1:7" ht="46.5" thickTop="1" thickBot="1" x14ac:dyDescent="0.3">
      <c r="A56" s="56"/>
      <c r="B56" s="22" t="s">
        <v>59</v>
      </c>
      <c r="C56" s="23" t="s">
        <v>60</v>
      </c>
      <c r="D56" s="19" t="s">
        <v>61</v>
      </c>
      <c r="E56" s="62"/>
      <c r="F56" s="63"/>
      <c r="G56" s="56"/>
    </row>
    <row r="57" spans="1:7" ht="15.75" thickTop="1" x14ac:dyDescent="0.25">
      <c r="A57" s="56"/>
      <c r="B57" s="28" t="s">
        <v>62</v>
      </c>
      <c r="C57" s="24">
        <f>COUNTIF(C3:C15, "y")+COUNTIF(C3:C15, "n")+COUNTIF(C6:C7, "1")+COUNTIF(C6:C7, "2")+COUNTIF(C6:C7, "3")</f>
        <v>9</v>
      </c>
      <c r="D57" s="20" t="str">
        <f>IF(C57&gt;=2,"yes","no")</f>
        <v>yes</v>
      </c>
      <c r="E57" s="62"/>
      <c r="F57" s="56"/>
      <c r="G57" s="56"/>
    </row>
    <row r="58" spans="1:7" x14ac:dyDescent="0.25">
      <c r="A58" s="56"/>
      <c r="B58" s="29" t="s">
        <v>63</v>
      </c>
      <c r="C58" s="24">
        <f>COUNTIF(C16:C27,"y")+COUNTIF(C16:C27,"n")</f>
        <v>9</v>
      </c>
      <c r="D58" s="20" t="str">
        <f>IF(C58&gt;=2,"yes","no")</f>
        <v>yes</v>
      </c>
      <c r="E58" s="62"/>
      <c r="F58" s="56"/>
      <c r="G58" s="56"/>
    </row>
    <row r="59" spans="1:7" x14ac:dyDescent="0.25">
      <c r="A59" s="56"/>
      <c r="B59" s="28" t="s">
        <v>64</v>
      </c>
      <c r="C59" s="24">
        <f>COUNTIF(C28:C51,"y")+COUNTIF(C28:C51, "n")+COUNT(C28:C51)</f>
        <v>20</v>
      </c>
      <c r="D59" s="20" t="str">
        <f>IF(C59&gt;=6,"yes","no")</f>
        <v>yes</v>
      </c>
      <c r="E59" s="62"/>
      <c r="F59" s="56"/>
      <c r="G59" s="56"/>
    </row>
    <row r="60" spans="1:7" ht="15.75" thickBot="1" x14ac:dyDescent="0.3">
      <c r="A60" s="56"/>
      <c r="B60" s="25" t="s">
        <v>65</v>
      </c>
      <c r="C60" s="26">
        <f>SUM(C57:C59)</f>
        <v>38</v>
      </c>
      <c r="D60" s="21" t="str">
        <f>IF(D57="no","no",IF(D58="no","no",IF(D59="no","no","yes")))</f>
        <v>yes</v>
      </c>
      <c r="E60" s="62"/>
      <c r="F60" s="56"/>
      <c r="G60" s="56"/>
    </row>
    <row r="61" spans="1:7" ht="15.75" thickTop="1" x14ac:dyDescent="0.25">
      <c r="A61" s="56"/>
      <c r="B61" s="56"/>
      <c r="C61" s="56"/>
      <c r="D61" s="56"/>
      <c r="E61" s="57"/>
      <c r="F61" s="56"/>
      <c r="G61" s="56"/>
    </row>
    <row r="62" spans="1:7" x14ac:dyDescent="0.25">
      <c r="A62" s="56"/>
      <c r="B62" s="56"/>
      <c r="C62" s="56"/>
      <c r="D62" s="56"/>
      <c r="E62" s="57"/>
      <c r="F62" s="56"/>
      <c r="G62" s="56"/>
    </row>
    <row r="63" spans="1:7" ht="15.75" thickBot="1" x14ac:dyDescent="0.3">
      <c r="A63" s="56"/>
      <c r="B63" s="108" t="s">
        <v>66</v>
      </c>
      <c r="C63" s="108"/>
      <c r="D63" s="108"/>
      <c r="E63" s="62"/>
      <c r="F63" s="56"/>
      <c r="G63" s="56"/>
    </row>
    <row r="64" spans="1:7" ht="15.75" thickBot="1" x14ac:dyDescent="0.3">
      <c r="A64" s="56"/>
      <c r="B64" s="109" t="s">
        <v>67</v>
      </c>
      <c r="C64" s="110"/>
      <c r="D64" s="111"/>
      <c r="E64" s="62"/>
      <c r="F64" s="56"/>
      <c r="G64" s="56"/>
    </row>
    <row r="65" spans="1:7" x14ac:dyDescent="0.25">
      <c r="A65" s="56">
        <v>9.01</v>
      </c>
      <c r="B65" s="71" t="s">
        <v>68</v>
      </c>
      <c r="C65" s="112"/>
      <c r="D65" s="113"/>
      <c r="E65" s="62"/>
      <c r="F65" s="56"/>
      <c r="G65" s="56"/>
    </row>
    <row r="66" spans="1:7" x14ac:dyDescent="0.25">
      <c r="A66" s="56">
        <v>9.02</v>
      </c>
      <c r="B66" s="71" t="s">
        <v>69</v>
      </c>
      <c r="C66" s="114"/>
      <c r="D66" s="115"/>
      <c r="E66" s="62"/>
      <c r="F66" s="56"/>
      <c r="G66" s="56"/>
    </row>
    <row r="67" spans="1:7" x14ac:dyDescent="0.25">
      <c r="A67" s="56">
        <v>9.0299999999999994</v>
      </c>
      <c r="B67" s="71" t="s">
        <v>70</v>
      </c>
      <c r="C67" s="106"/>
      <c r="D67" s="107"/>
      <c r="E67" s="62"/>
      <c r="F67" s="56"/>
      <c r="G67" s="56"/>
    </row>
    <row r="68" spans="1:7" x14ac:dyDescent="0.25">
      <c r="A68" s="56">
        <v>9.0399999999999991</v>
      </c>
      <c r="B68" s="71" t="s">
        <v>71</v>
      </c>
      <c r="C68" s="106"/>
      <c r="D68" s="107"/>
      <c r="E68" s="62"/>
      <c r="F68" s="56"/>
      <c r="G68" s="56"/>
    </row>
    <row r="69" spans="1:7" x14ac:dyDescent="0.25">
      <c r="A69" s="56">
        <v>9.0500000000000007</v>
      </c>
      <c r="B69" s="71" t="s">
        <v>72</v>
      </c>
      <c r="C69" s="106"/>
      <c r="D69" s="107"/>
      <c r="E69" s="62"/>
      <c r="F69" s="56"/>
      <c r="G69" s="56"/>
    </row>
    <row r="70" spans="1:7" x14ac:dyDescent="0.25">
      <c r="A70" s="56">
        <v>9.06</v>
      </c>
      <c r="B70" s="71" t="s">
        <v>73</v>
      </c>
      <c r="C70" s="106"/>
      <c r="D70" s="107"/>
      <c r="E70" s="62"/>
      <c r="F70" s="56"/>
      <c r="G70" s="56"/>
    </row>
    <row r="71" spans="1:7" x14ac:dyDescent="0.25">
      <c r="A71" s="56">
        <v>9.07</v>
      </c>
      <c r="B71" s="71" t="s">
        <v>74</v>
      </c>
      <c r="C71" s="94"/>
      <c r="D71" s="97" t="str">
        <f>IF(C71="yes", IF(OR(C65="?", C66="?", C67="no", C67="?"), "eval.", IF(AND(C65="yes", C66="yes", C67="yes"), "reject", IF(OR(C65="no", C66="no"), "accept", " ")))," ")</f>
        <v xml:space="preserve"> </v>
      </c>
      <c r="E71" s="62"/>
      <c r="F71" s="56"/>
      <c r="G71" s="56"/>
    </row>
    <row r="72" spans="1:7" x14ac:dyDescent="0.25">
      <c r="A72" s="56">
        <v>9.08</v>
      </c>
      <c r="B72" s="71" t="s">
        <v>75</v>
      </c>
      <c r="C72" s="92"/>
      <c r="D72" s="89" t="str">
        <f>IF(C71="yes","STOP",IF(C72="yes",IF(C68="no","accept",IF(AND(C68="yes",OR(C69="yes",C70="yes")),"reject",IF(OR(C68="?",C69="?",C70="?",C69="no",C70="no"),"eval.",""))), ""))</f>
        <v/>
      </c>
      <c r="E72" s="62"/>
      <c r="F72" s="56"/>
      <c r="G72" s="56"/>
    </row>
    <row r="73" spans="1:7" ht="15.75" thickBot="1" x14ac:dyDescent="0.3">
      <c r="A73" s="56">
        <v>9.09</v>
      </c>
      <c r="B73" s="91" t="s">
        <v>76</v>
      </c>
      <c r="C73" s="93"/>
      <c r="D73" s="90" t="str">
        <f>IF(OR(C71="yes",C72="yes"),"STOP",IF(C73="yes",IF(AND(LUT!I26="accept",LUT!I27="accept"),"accept",IF(AND(LUT!I26="eval.",LUT!I27="eval."),"eval.",IF(OR(LUT!I26="reject",LUT!I27="reject"),"reject",""))),""))</f>
        <v/>
      </c>
      <c r="E73" s="62"/>
      <c r="F73" s="56"/>
      <c r="G73" s="56"/>
    </row>
    <row r="74" spans="1:7" ht="15.75" thickBot="1" x14ac:dyDescent="0.3">
      <c r="A74" s="56"/>
      <c r="B74" s="72" t="s">
        <v>77</v>
      </c>
      <c r="C74" s="104" t="str">
        <f>IF(OR(D71="accept", D72="accept", D73="accept"), "Accept", IF(OR(D71="eval.", D72="eval.", D73="eval."), "Evaluate Further", IF(OR(D71="reject", D72="reject",D73="reject"), "Reject", "")))</f>
        <v/>
      </c>
      <c r="D74" s="105"/>
      <c r="E74" s="62"/>
      <c r="F74" s="56"/>
      <c r="G74" s="56"/>
    </row>
    <row r="75" spans="1:7" x14ac:dyDescent="0.25">
      <c r="A75" s="56"/>
      <c r="B75" s="64"/>
      <c r="C75" s="64"/>
      <c r="D75" s="56"/>
      <c r="E75" s="57"/>
      <c r="F75" s="56"/>
      <c r="G75" s="56"/>
    </row>
    <row r="76" spans="1:7" x14ac:dyDescent="0.25">
      <c r="A76" s="56"/>
      <c r="B76" s="64"/>
      <c r="C76" s="64"/>
      <c r="D76" s="56"/>
      <c r="E76" s="57"/>
      <c r="F76" s="56"/>
      <c r="G76" s="56"/>
    </row>
    <row r="77" spans="1:7" x14ac:dyDescent="0.25">
      <c r="A77" s="56"/>
      <c r="B77" s="64"/>
      <c r="C77" s="64"/>
      <c r="D77" s="56"/>
      <c r="E77" s="57"/>
      <c r="F77" s="56"/>
      <c r="G77" s="56"/>
    </row>
    <row r="78" spans="1:7" x14ac:dyDescent="0.25">
      <c r="A78" s="56"/>
      <c r="B78" s="64"/>
      <c r="C78" s="64"/>
      <c r="D78" s="56"/>
      <c r="E78" s="57"/>
      <c r="F78" s="56"/>
      <c r="G78" s="56"/>
    </row>
    <row r="79" spans="1:7" x14ac:dyDescent="0.25">
      <c r="A79" s="56"/>
      <c r="B79" s="64"/>
      <c r="C79" s="64"/>
      <c r="D79" s="56"/>
      <c r="E79" s="57"/>
      <c r="F79" s="56"/>
      <c r="G79" s="56"/>
    </row>
    <row r="80" spans="1:7" x14ac:dyDescent="0.25">
      <c r="A80" s="56"/>
      <c r="B80" s="64"/>
      <c r="C80" s="64"/>
      <c r="D80" s="56"/>
      <c r="E80" s="57"/>
      <c r="F80" s="56"/>
      <c r="G80" s="56"/>
    </row>
    <row r="81" spans="1:7" x14ac:dyDescent="0.25">
      <c r="A81" s="56"/>
      <c r="B81" s="64"/>
      <c r="C81" s="64"/>
      <c r="D81" s="56"/>
      <c r="E81" s="57"/>
      <c r="F81" s="56"/>
      <c r="G81" s="56"/>
    </row>
    <row r="82" spans="1:7" x14ac:dyDescent="0.25">
      <c r="A82" s="56"/>
      <c r="B82" s="64"/>
      <c r="C82" s="64"/>
      <c r="D82" s="56"/>
      <c r="E82" s="57"/>
      <c r="F82" s="56"/>
      <c r="G82" s="56"/>
    </row>
    <row r="83" spans="1:7" x14ac:dyDescent="0.25">
      <c r="A83" s="56"/>
      <c r="B83" s="64"/>
      <c r="C83" s="64"/>
      <c r="D83" s="56"/>
      <c r="E83" s="57"/>
      <c r="F83" s="56"/>
      <c r="G83" s="56"/>
    </row>
    <row r="84" spans="1:7" x14ac:dyDescent="0.25">
      <c r="A84" s="56"/>
      <c r="B84" s="64"/>
      <c r="C84" s="64"/>
      <c r="D84" s="56"/>
      <c r="E84" s="57"/>
      <c r="F84" s="56"/>
      <c r="G84" s="56"/>
    </row>
    <row r="85" spans="1:7" x14ac:dyDescent="0.25">
      <c r="A85" s="56"/>
      <c r="B85" s="64"/>
      <c r="C85" s="64"/>
      <c r="D85" s="56"/>
      <c r="E85" s="57"/>
      <c r="F85" s="56"/>
      <c r="G85" s="56"/>
    </row>
    <row r="86" spans="1:7" x14ac:dyDescent="0.25">
      <c r="A86" s="56"/>
      <c r="B86" s="56"/>
      <c r="C86" s="56"/>
      <c r="D86" s="56"/>
      <c r="E86" s="57"/>
      <c r="F86" s="56"/>
      <c r="G86" s="56"/>
    </row>
    <row r="107" spans="6:6" x14ac:dyDescent="0.25">
      <c r="F107" s="56"/>
    </row>
  </sheetData>
  <sheetProtection algorithmName="SHA-512" hashValue="MZrUtja7PJJDBC1B4jwD1l/Vd11nSCw1Immg4b2LVW4Cbn46bR2XSzczeuRm6UGdiQ3ljPyFp1/LgSDPZLisiQ==" saltValue="lXs5ZdypR3R8tD5PrOkg/A==" spinCount="100000" sheet="1" formatCells="0" formatColumns="0" formatRows="0" insertHyperlinks="0"/>
  <mergeCells count="9">
    <mergeCell ref="C74:D74"/>
    <mergeCell ref="C69:D69"/>
    <mergeCell ref="B63:D63"/>
    <mergeCell ref="C68:D68"/>
    <mergeCell ref="C70:D70"/>
    <mergeCell ref="B64:D64"/>
    <mergeCell ref="C65:D65"/>
    <mergeCell ref="C66:D66"/>
    <mergeCell ref="C67:D67"/>
  </mergeCells>
  <dataValidations count="5">
    <dataValidation type="list" allowBlank="1" showInputMessage="1" showErrorMessage="1" sqref="C6:C7" xr:uid="{978B89CE-69C6-4161-A034-AC015DA0075F}">
      <formula1>"1,2,3,?"</formula1>
    </dataValidation>
    <dataValidation type="list" allowBlank="1" showInputMessage="1" showErrorMessage="1" sqref="C3 C4:C5 C8:C37 C39:C51" xr:uid="{A77910E4-8094-445A-B01F-5DFC8D9709A0}">
      <formula1>"y,n,?"</formula1>
    </dataValidation>
    <dataValidation type="list" allowBlank="1" showInputMessage="1" showErrorMessage="1" sqref="C38" xr:uid="{7B5D2DC9-EDC8-46A0-9AF9-27EF244727AD}">
      <formula1>"1 or fewer, 2 or 3, 4 or more,?"</formula1>
    </dataValidation>
    <dataValidation type="list" errorStyle="information" allowBlank="1" showInputMessage="1" showErrorMessage="1" errorTitle="Invalid Entry" error="Make a selection from the drop-down menu, or enter &quot;yes&quot; or &quot;no&quot;. Other entries will not work." sqref="C72 C73 C71:C72" xr:uid="{6E363CE9-056D-45A6-863F-0434A36F596E}">
      <formula1>"yes, no"</formula1>
    </dataValidation>
    <dataValidation type="list" allowBlank="1" showInputMessage="1" showErrorMessage="1" sqref="C70 C68 C69:C72 C67 C66 C65:D65" xr:uid="{7728EFC8-AC11-4E25-B467-7DD30AB392B5}">
      <formula1>"yes, no, ?"</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A408A-7496-40D5-8E67-BFE1B4BFE658}">
  <dimension ref="B1:R54"/>
  <sheetViews>
    <sheetView zoomScaleNormal="100" workbookViewId="0">
      <selection activeCell="O24" sqref="O24"/>
    </sheetView>
  </sheetViews>
  <sheetFormatPr defaultColWidth="8.85546875" defaultRowHeight="15" x14ac:dyDescent="0.25"/>
  <cols>
    <col min="1" max="1" width="6.85546875" customWidth="1"/>
    <col min="8" max="8" width="18.28515625" customWidth="1"/>
  </cols>
  <sheetData>
    <row r="1" spans="2:18" ht="15.75" thickBot="1" x14ac:dyDescent="0.3"/>
    <row r="2" spans="2:18" ht="15.75" thickBot="1" x14ac:dyDescent="0.3">
      <c r="B2" t="s">
        <v>78</v>
      </c>
      <c r="H2" s="141" t="s">
        <v>79</v>
      </c>
      <c r="I2" s="142"/>
      <c r="J2" s="142"/>
      <c r="K2" s="142"/>
      <c r="L2" s="142"/>
      <c r="M2" s="142"/>
      <c r="N2" s="142"/>
      <c r="O2" s="142"/>
      <c r="P2" s="142"/>
      <c r="Q2" s="142"/>
      <c r="R2" s="143"/>
    </row>
    <row r="3" spans="2:18" x14ac:dyDescent="0.25">
      <c r="B3" s="1" t="s">
        <v>59</v>
      </c>
      <c r="C3" s="2" t="s">
        <v>2</v>
      </c>
      <c r="D3" s="2" t="s">
        <v>80</v>
      </c>
      <c r="E3" s="3" t="s">
        <v>81</v>
      </c>
      <c r="H3" s="128" t="s">
        <v>82</v>
      </c>
      <c r="I3" s="129"/>
      <c r="J3" s="129"/>
      <c r="K3" s="129"/>
      <c r="L3" s="129"/>
      <c r="M3" s="129"/>
      <c r="N3" s="129"/>
      <c r="O3" s="129"/>
      <c r="P3" s="129"/>
      <c r="Q3" s="129"/>
      <c r="R3" s="130"/>
    </row>
    <row r="4" spans="2:18" x14ac:dyDescent="0.25">
      <c r="B4" s="4" t="s">
        <v>83</v>
      </c>
      <c r="C4">
        <v>1.01</v>
      </c>
      <c r="D4">
        <v>0</v>
      </c>
      <c r="E4" s="5">
        <v>-3</v>
      </c>
      <c r="H4" s="131" t="s">
        <v>84</v>
      </c>
      <c r="I4" s="132"/>
      <c r="J4" s="132"/>
      <c r="K4" s="132"/>
      <c r="L4" s="132"/>
      <c r="M4" s="132"/>
      <c r="N4" s="132"/>
      <c r="O4" s="132"/>
      <c r="P4" s="132"/>
      <c r="Q4" s="132"/>
      <c r="R4" s="16" t="s">
        <v>85</v>
      </c>
    </row>
    <row r="5" spans="2:18" x14ac:dyDescent="0.25">
      <c r="B5" s="4" t="s">
        <v>64</v>
      </c>
      <c r="C5">
        <v>1.02</v>
      </c>
      <c r="D5">
        <v>-1</v>
      </c>
      <c r="E5" s="5">
        <v>1</v>
      </c>
      <c r="H5" s="131" t="s">
        <v>86</v>
      </c>
      <c r="I5" s="10">
        <v>2.0099999999999998</v>
      </c>
      <c r="J5" s="10">
        <v>1</v>
      </c>
      <c r="K5" s="10">
        <v>1</v>
      </c>
      <c r="L5" s="10">
        <v>1</v>
      </c>
      <c r="M5" s="10">
        <v>2</v>
      </c>
      <c r="N5" s="10">
        <v>2</v>
      </c>
      <c r="O5" s="10">
        <v>2</v>
      </c>
      <c r="P5" s="10">
        <v>3</v>
      </c>
      <c r="Q5" s="10">
        <v>3</v>
      </c>
      <c r="R5" s="11">
        <v>3</v>
      </c>
    </row>
    <row r="6" spans="2:18" x14ac:dyDescent="0.25">
      <c r="B6" s="4" t="s">
        <v>64</v>
      </c>
      <c r="C6">
        <v>1.03</v>
      </c>
      <c r="D6">
        <v>-1</v>
      </c>
      <c r="E6" s="5">
        <v>1</v>
      </c>
      <c r="H6" s="131"/>
      <c r="I6" s="10">
        <v>2.02</v>
      </c>
      <c r="J6" s="10">
        <v>1</v>
      </c>
      <c r="K6" s="10">
        <v>2</v>
      </c>
      <c r="L6" s="10">
        <v>3</v>
      </c>
      <c r="M6" s="10">
        <v>1</v>
      </c>
      <c r="N6" s="10">
        <v>2</v>
      </c>
      <c r="O6" s="10">
        <v>3</v>
      </c>
      <c r="P6" s="10">
        <v>1</v>
      </c>
      <c r="Q6" s="10">
        <v>2</v>
      </c>
      <c r="R6" s="11">
        <v>3</v>
      </c>
    </row>
    <row r="7" spans="2:18" x14ac:dyDescent="0.25">
      <c r="B7" s="4"/>
      <c r="C7">
        <v>2.0099999999999998</v>
      </c>
      <c r="D7" s="116" t="s">
        <v>87</v>
      </c>
      <c r="E7" s="117"/>
      <c r="H7" s="133" t="s">
        <v>88</v>
      </c>
      <c r="I7" s="10">
        <v>3.01</v>
      </c>
      <c r="J7" s="10">
        <v>2</v>
      </c>
      <c r="K7" s="10">
        <v>1</v>
      </c>
      <c r="L7" s="10">
        <v>1</v>
      </c>
      <c r="M7" s="10">
        <v>2</v>
      </c>
      <c r="N7" s="10">
        <v>2</v>
      </c>
      <c r="O7" s="10">
        <v>1</v>
      </c>
      <c r="P7" s="10">
        <v>2</v>
      </c>
      <c r="Q7" s="10">
        <v>2</v>
      </c>
      <c r="R7" s="11">
        <v>2</v>
      </c>
    </row>
    <row r="8" spans="2:18" x14ac:dyDescent="0.25">
      <c r="B8" s="4"/>
      <c r="C8">
        <v>2.02</v>
      </c>
      <c r="D8" s="118"/>
      <c r="E8" s="119"/>
      <c r="H8" s="133"/>
      <c r="I8" s="10">
        <v>3.02</v>
      </c>
      <c r="J8" s="10">
        <v>2</v>
      </c>
      <c r="K8" s="10">
        <v>1</v>
      </c>
      <c r="L8" s="10">
        <v>1</v>
      </c>
      <c r="M8" s="10">
        <v>2</v>
      </c>
      <c r="N8" s="10">
        <v>2</v>
      </c>
      <c r="O8" s="10">
        <v>1</v>
      </c>
      <c r="P8" s="10">
        <v>2</v>
      </c>
      <c r="Q8" s="10">
        <v>2</v>
      </c>
      <c r="R8" s="11">
        <v>2</v>
      </c>
    </row>
    <row r="9" spans="2:18" x14ac:dyDescent="0.25">
      <c r="B9" s="4" t="s">
        <v>64</v>
      </c>
      <c r="C9">
        <v>2.0299999999999998</v>
      </c>
      <c r="D9">
        <v>0</v>
      </c>
      <c r="E9" s="5">
        <v>1</v>
      </c>
      <c r="H9" s="133"/>
      <c r="I9" s="10">
        <v>3.03</v>
      </c>
      <c r="J9" s="10">
        <v>4</v>
      </c>
      <c r="K9" s="10">
        <v>2</v>
      </c>
      <c r="L9" s="10">
        <v>1</v>
      </c>
      <c r="M9" s="10">
        <v>4</v>
      </c>
      <c r="N9" s="10">
        <v>3</v>
      </c>
      <c r="O9" s="10">
        <v>2</v>
      </c>
      <c r="P9" s="10">
        <v>4</v>
      </c>
      <c r="Q9" s="10">
        <v>4</v>
      </c>
      <c r="R9" s="11">
        <v>4</v>
      </c>
    </row>
    <row r="10" spans="2:18" x14ac:dyDescent="0.25">
      <c r="B10" s="4" t="s">
        <v>64</v>
      </c>
      <c r="C10">
        <v>2.04</v>
      </c>
      <c r="D10">
        <v>0</v>
      </c>
      <c r="E10" s="5">
        <v>1</v>
      </c>
      <c r="H10" s="133"/>
      <c r="I10" s="10">
        <v>3.04</v>
      </c>
      <c r="J10" s="10">
        <v>4</v>
      </c>
      <c r="K10" s="10">
        <v>2</v>
      </c>
      <c r="L10" s="10">
        <v>1</v>
      </c>
      <c r="M10" s="10">
        <v>4</v>
      </c>
      <c r="N10" s="10">
        <v>3</v>
      </c>
      <c r="O10" s="10">
        <v>2</v>
      </c>
      <c r="P10" s="10">
        <v>4</v>
      </c>
      <c r="Q10" s="10">
        <v>4</v>
      </c>
      <c r="R10" s="11">
        <v>4</v>
      </c>
    </row>
    <row r="11" spans="2:18" x14ac:dyDescent="0.25">
      <c r="B11" s="4"/>
      <c r="C11">
        <v>2.0499999999999998</v>
      </c>
      <c r="E11" s="5"/>
      <c r="H11" s="133"/>
      <c r="I11" s="10">
        <v>3.05</v>
      </c>
      <c r="J11" s="10">
        <v>2</v>
      </c>
      <c r="K11" s="10">
        <v>1</v>
      </c>
      <c r="L11" s="10">
        <v>1</v>
      </c>
      <c r="M11" s="10">
        <v>2</v>
      </c>
      <c r="N11" s="10">
        <v>2</v>
      </c>
      <c r="O11" s="10">
        <v>1</v>
      </c>
      <c r="P11" s="10">
        <v>2</v>
      </c>
      <c r="Q11" s="10">
        <v>2</v>
      </c>
      <c r="R11" s="11">
        <v>2</v>
      </c>
    </row>
    <row r="12" spans="2:18" x14ac:dyDescent="0.25">
      <c r="B12" s="4" t="s">
        <v>64</v>
      </c>
      <c r="C12">
        <v>3.01</v>
      </c>
      <c r="D12" s="120" t="s">
        <v>89</v>
      </c>
      <c r="E12" s="121"/>
      <c r="H12" s="144" t="s">
        <v>90</v>
      </c>
      <c r="I12" s="145"/>
      <c r="J12" s="145"/>
      <c r="K12" s="145"/>
      <c r="L12" s="145"/>
      <c r="M12" s="145"/>
      <c r="N12" s="145"/>
      <c r="O12" s="145"/>
      <c r="P12" s="145"/>
      <c r="Q12" s="145"/>
      <c r="R12" s="147"/>
    </row>
    <row r="13" spans="2:18" x14ac:dyDescent="0.25">
      <c r="B13" s="4" t="s">
        <v>91</v>
      </c>
      <c r="C13">
        <v>3.02</v>
      </c>
      <c r="D13" s="122"/>
      <c r="E13" s="123"/>
      <c r="H13" s="4" t="s">
        <v>92</v>
      </c>
      <c r="I13" s="10">
        <v>2.0499999999999998</v>
      </c>
      <c r="J13" s="10" t="s">
        <v>93</v>
      </c>
      <c r="K13" s="10" t="s">
        <v>94</v>
      </c>
      <c r="L13" s="10" t="s">
        <v>95</v>
      </c>
      <c r="M13" s="145"/>
      <c r="N13" s="145"/>
      <c r="O13" s="145"/>
      <c r="P13" s="145"/>
      <c r="Q13" s="145"/>
      <c r="R13" s="147"/>
    </row>
    <row r="14" spans="2:18" x14ac:dyDescent="0.25">
      <c r="B14" s="4" t="s">
        <v>62</v>
      </c>
      <c r="C14">
        <v>3.03</v>
      </c>
      <c r="D14" s="122"/>
      <c r="E14" s="123"/>
      <c r="H14" s="133" t="s">
        <v>88</v>
      </c>
      <c r="I14" s="10">
        <v>3.01</v>
      </c>
      <c r="J14" s="10">
        <v>-1</v>
      </c>
      <c r="K14" s="10">
        <v>0</v>
      </c>
      <c r="L14" s="10">
        <v>-2</v>
      </c>
      <c r="M14" s="145"/>
      <c r="N14" s="145"/>
      <c r="O14" s="145"/>
      <c r="P14" s="145"/>
      <c r="Q14" s="145"/>
      <c r="R14" s="147"/>
    </row>
    <row r="15" spans="2:18" ht="15.75" thickBot="1" x14ac:dyDescent="0.3">
      <c r="B15" s="4" t="s">
        <v>91</v>
      </c>
      <c r="C15">
        <v>3.04</v>
      </c>
      <c r="D15" s="122"/>
      <c r="E15" s="123"/>
      <c r="H15" s="146"/>
      <c r="I15" s="13" t="s">
        <v>96</v>
      </c>
      <c r="J15" s="13">
        <v>0</v>
      </c>
      <c r="K15" s="13">
        <v>0</v>
      </c>
      <c r="L15" s="13">
        <v>0</v>
      </c>
      <c r="M15" s="148"/>
      <c r="N15" s="148"/>
      <c r="O15" s="148"/>
      <c r="P15" s="148"/>
      <c r="Q15" s="148"/>
      <c r="R15" s="149"/>
    </row>
    <row r="16" spans="2:18" x14ac:dyDescent="0.25">
      <c r="B16" s="4" t="s">
        <v>64</v>
      </c>
      <c r="C16">
        <v>3.05</v>
      </c>
      <c r="D16" s="124"/>
      <c r="E16" s="125"/>
    </row>
    <row r="17" spans="2:11" x14ac:dyDescent="0.25">
      <c r="B17" s="4" t="s">
        <v>97</v>
      </c>
      <c r="C17">
        <v>4.01</v>
      </c>
      <c r="D17">
        <v>0</v>
      </c>
      <c r="E17" s="5">
        <v>1</v>
      </c>
    </row>
    <row r="18" spans="2:11" ht="15.75" thickBot="1" x14ac:dyDescent="0.3">
      <c r="B18" s="4" t="s">
        <v>64</v>
      </c>
      <c r="C18">
        <v>4.0199999999999996</v>
      </c>
      <c r="D18">
        <v>0</v>
      </c>
      <c r="E18" s="5">
        <v>1</v>
      </c>
    </row>
    <row r="19" spans="2:11" x14ac:dyDescent="0.25">
      <c r="B19" s="4" t="s">
        <v>64</v>
      </c>
      <c r="C19">
        <v>4.03</v>
      </c>
      <c r="D19">
        <v>0</v>
      </c>
      <c r="E19" s="5">
        <v>1</v>
      </c>
      <c r="H19" s="141" t="s">
        <v>98</v>
      </c>
      <c r="I19" s="142"/>
      <c r="J19" s="142"/>
      <c r="K19" s="143"/>
    </row>
    <row r="20" spans="2:11" x14ac:dyDescent="0.25">
      <c r="B20" s="4" t="s">
        <v>62</v>
      </c>
      <c r="C20">
        <v>4.04</v>
      </c>
      <c r="D20">
        <v>-1</v>
      </c>
      <c r="E20" s="5">
        <v>1</v>
      </c>
      <c r="H20" s="4" t="s">
        <v>99</v>
      </c>
      <c r="I20" s="12">
        <v>1</v>
      </c>
      <c r="J20" s="12">
        <v>2</v>
      </c>
      <c r="K20" s="9">
        <v>4</v>
      </c>
    </row>
    <row r="21" spans="2:11" ht="15.75" thickBot="1" x14ac:dyDescent="0.3">
      <c r="B21" s="4" t="s">
        <v>64</v>
      </c>
      <c r="C21">
        <v>4.05</v>
      </c>
      <c r="D21">
        <v>0</v>
      </c>
      <c r="E21" s="5">
        <v>1</v>
      </c>
      <c r="H21" s="6" t="s">
        <v>4</v>
      </c>
      <c r="I21" s="14">
        <v>1</v>
      </c>
      <c r="J21" s="14">
        <v>0</v>
      </c>
      <c r="K21" s="15">
        <v>-1</v>
      </c>
    </row>
    <row r="22" spans="2:11" x14ac:dyDescent="0.25">
      <c r="B22" s="4" t="s">
        <v>64</v>
      </c>
      <c r="C22">
        <v>4.0599999999999996</v>
      </c>
      <c r="D22">
        <v>0</v>
      </c>
      <c r="E22" s="5">
        <v>1</v>
      </c>
    </row>
    <row r="23" spans="2:11" x14ac:dyDescent="0.25">
      <c r="B23" s="4" t="s">
        <v>64</v>
      </c>
      <c r="C23">
        <v>4.07</v>
      </c>
      <c r="D23">
        <v>0</v>
      </c>
      <c r="E23" s="5">
        <v>1</v>
      </c>
    </row>
    <row r="24" spans="2:11" ht="15.75" thickBot="1" x14ac:dyDescent="0.3">
      <c r="B24" s="4" t="s">
        <v>91</v>
      </c>
      <c r="C24">
        <v>4.08</v>
      </c>
      <c r="D24">
        <v>0</v>
      </c>
      <c r="E24" s="5">
        <v>1</v>
      </c>
    </row>
    <row r="25" spans="2:11" x14ac:dyDescent="0.25">
      <c r="B25" s="4" t="s">
        <v>91</v>
      </c>
      <c r="C25">
        <v>4.09</v>
      </c>
      <c r="D25">
        <v>0</v>
      </c>
      <c r="E25" s="5">
        <v>1</v>
      </c>
      <c r="H25" s="134" t="s">
        <v>100</v>
      </c>
      <c r="I25" s="135"/>
      <c r="J25" s="135"/>
      <c r="K25" s="136"/>
    </row>
    <row r="26" spans="2:11" x14ac:dyDescent="0.25">
      <c r="B26" s="4" t="s">
        <v>91</v>
      </c>
      <c r="C26">
        <v>4.0999999999999996</v>
      </c>
      <c r="D26">
        <v>0</v>
      </c>
      <c r="E26" s="5">
        <v>1</v>
      </c>
      <c r="H26" s="95" t="s">
        <v>101</v>
      </c>
      <c r="I26" s="137" t="str">
        <f>IF(OR('WRA Worksheet'!C65="?",'WRA Worksheet'!C66="?",'WRA Worksheet'!C67="?",'WRA Worksheet'!C67="no"),"eval.",IF(AND('WRA Worksheet'!C65="yes",'WRA Worksheet'!C66="yes",'WRA Worksheet'!C67="yes"),"reject",IF(OR('WRA Worksheet'!C65="no",'WRA Worksheet'!C66="no"),"accept","")))</f>
        <v/>
      </c>
      <c r="J26" s="137"/>
      <c r="K26" s="138"/>
    </row>
    <row r="27" spans="2:11" ht="15.75" thickBot="1" x14ac:dyDescent="0.3">
      <c r="B27" s="4" t="s">
        <v>91</v>
      </c>
      <c r="C27">
        <v>4.1100000000000003</v>
      </c>
      <c r="D27">
        <v>0</v>
      </c>
      <c r="E27" s="5">
        <v>1</v>
      </c>
      <c r="H27" s="96" t="s">
        <v>102</v>
      </c>
      <c r="I27" s="139" t="str">
        <f>IF('WRA Worksheet'!C68="no","accept",IF(AND('WRA Worksheet'!C68="yes",OR('WRA Worksheet'!C69="yes",'WRA Worksheet'!C70="yes")),"reject",IF(OR('WRA Worksheet'!C68="?",'WRA Worksheet'!C69="?",'WRA Worksheet'!C70="?",'WRA Worksheet'!C69="no",'WRA Worksheet'!C70="no"),"eval.","")))</f>
        <v/>
      </c>
      <c r="J27" s="139"/>
      <c r="K27" s="140"/>
    </row>
    <row r="28" spans="2:11" x14ac:dyDescent="0.25">
      <c r="B28" s="4" t="s">
        <v>64</v>
      </c>
      <c r="C28">
        <v>4.12</v>
      </c>
      <c r="D28">
        <v>0</v>
      </c>
      <c r="E28" s="5">
        <v>1</v>
      </c>
    </row>
    <row r="29" spans="2:11" x14ac:dyDescent="0.25">
      <c r="B29" s="4" t="s">
        <v>103</v>
      </c>
      <c r="C29">
        <v>5.01</v>
      </c>
      <c r="D29">
        <v>0</v>
      </c>
      <c r="E29" s="5">
        <v>5</v>
      </c>
    </row>
    <row r="30" spans="2:11" x14ac:dyDescent="0.25">
      <c r="B30" s="4" t="s">
        <v>64</v>
      </c>
      <c r="C30">
        <v>5.0199999999999996</v>
      </c>
      <c r="D30">
        <v>0</v>
      </c>
      <c r="E30" s="5">
        <v>1</v>
      </c>
    </row>
    <row r="31" spans="2:11" x14ac:dyDescent="0.25">
      <c r="B31" s="4" t="s">
        <v>91</v>
      </c>
      <c r="C31">
        <v>5.03</v>
      </c>
      <c r="D31">
        <v>0</v>
      </c>
      <c r="E31" s="5">
        <v>1</v>
      </c>
    </row>
    <row r="32" spans="2:11" x14ac:dyDescent="0.25">
      <c r="B32" s="4" t="s">
        <v>64</v>
      </c>
      <c r="C32">
        <v>5.04</v>
      </c>
      <c r="D32">
        <v>0</v>
      </c>
      <c r="E32" s="5">
        <v>1</v>
      </c>
    </row>
    <row r="33" spans="2:5" x14ac:dyDescent="0.25">
      <c r="B33" s="4" t="s">
        <v>64</v>
      </c>
      <c r="C33">
        <v>6.01</v>
      </c>
      <c r="D33">
        <v>0</v>
      </c>
      <c r="E33" s="5">
        <v>1</v>
      </c>
    </row>
    <row r="34" spans="2:5" x14ac:dyDescent="0.25">
      <c r="B34" s="4" t="s">
        <v>64</v>
      </c>
      <c r="C34">
        <v>6.02</v>
      </c>
      <c r="D34">
        <v>-1</v>
      </c>
      <c r="E34" s="5">
        <v>1</v>
      </c>
    </row>
    <row r="35" spans="2:5" x14ac:dyDescent="0.25">
      <c r="B35" s="4" t="s">
        <v>62</v>
      </c>
      <c r="C35">
        <v>6.03</v>
      </c>
      <c r="D35">
        <v>-1</v>
      </c>
      <c r="E35" s="5">
        <v>1</v>
      </c>
    </row>
    <row r="36" spans="2:5" x14ac:dyDescent="0.25">
      <c r="B36" s="4" t="s">
        <v>64</v>
      </c>
      <c r="C36">
        <v>6.04</v>
      </c>
      <c r="D36">
        <v>-1</v>
      </c>
      <c r="E36" s="5">
        <v>1</v>
      </c>
    </row>
    <row r="37" spans="2:5" x14ac:dyDescent="0.25">
      <c r="B37" s="4" t="s">
        <v>64</v>
      </c>
      <c r="C37">
        <v>6.05</v>
      </c>
      <c r="D37">
        <v>0</v>
      </c>
      <c r="E37" s="5">
        <v>-1</v>
      </c>
    </row>
    <row r="38" spans="2:5" x14ac:dyDescent="0.25">
      <c r="B38" s="4" t="s">
        <v>62</v>
      </c>
      <c r="C38">
        <v>6.06</v>
      </c>
      <c r="D38">
        <v>-1</v>
      </c>
      <c r="E38" s="5">
        <v>1</v>
      </c>
    </row>
    <row r="39" spans="2:5" x14ac:dyDescent="0.25">
      <c r="B39" s="4" t="s">
        <v>64</v>
      </c>
      <c r="C39">
        <v>6.07</v>
      </c>
      <c r="D39" s="126" t="s">
        <v>104</v>
      </c>
      <c r="E39" s="127"/>
    </row>
    <row r="40" spans="2:5" x14ac:dyDescent="0.25">
      <c r="B40" s="4" t="s">
        <v>62</v>
      </c>
      <c r="C40">
        <v>7.01</v>
      </c>
      <c r="D40">
        <v>-1</v>
      </c>
      <c r="E40" s="5">
        <v>1</v>
      </c>
    </row>
    <row r="41" spans="2:5" x14ac:dyDescent="0.25">
      <c r="B41" s="4" t="s">
        <v>64</v>
      </c>
      <c r="C41">
        <v>7.02</v>
      </c>
      <c r="D41">
        <v>-1</v>
      </c>
      <c r="E41" s="5">
        <v>1</v>
      </c>
    </row>
    <row r="42" spans="2:5" x14ac:dyDescent="0.25">
      <c r="B42" s="4" t="s">
        <v>62</v>
      </c>
      <c r="C42">
        <v>7.03</v>
      </c>
      <c r="D42">
        <v>-1</v>
      </c>
      <c r="E42" s="5">
        <v>1</v>
      </c>
    </row>
    <row r="43" spans="2:5" x14ac:dyDescent="0.25">
      <c r="B43" s="4" t="s">
        <v>64</v>
      </c>
      <c r="C43">
        <v>7.04</v>
      </c>
      <c r="D43">
        <v>-1</v>
      </c>
      <c r="E43" s="5">
        <v>1</v>
      </c>
    </row>
    <row r="44" spans="2:5" x14ac:dyDescent="0.25">
      <c r="B44" s="4" t="s">
        <v>91</v>
      </c>
      <c r="C44">
        <v>7.05</v>
      </c>
      <c r="D44">
        <v>-1</v>
      </c>
      <c r="E44" s="5">
        <v>1</v>
      </c>
    </row>
    <row r="45" spans="2:5" x14ac:dyDescent="0.25">
      <c r="B45" s="4" t="s">
        <v>91</v>
      </c>
      <c r="C45">
        <v>7.06</v>
      </c>
      <c r="D45">
        <v>-1</v>
      </c>
      <c r="E45" s="5">
        <v>1</v>
      </c>
    </row>
    <row r="46" spans="2:5" x14ac:dyDescent="0.25">
      <c r="B46" s="4" t="s">
        <v>64</v>
      </c>
      <c r="C46">
        <v>7.07</v>
      </c>
      <c r="D46">
        <v>-1</v>
      </c>
      <c r="E46" s="5">
        <v>1</v>
      </c>
    </row>
    <row r="47" spans="2:5" x14ac:dyDescent="0.25">
      <c r="B47" s="4" t="s">
        <v>64</v>
      </c>
      <c r="C47">
        <v>7.08</v>
      </c>
      <c r="D47">
        <v>-1</v>
      </c>
      <c r="E47" s="5">
        <v>1</v>
      </c>
    </row>
    <row r="48" spans="2:5" x14ac:dyDescent="0.25">
      <c r="B48" s="4" t="s">
        <v>64</v>
      </c>
      <c r="C48">
        <v>8.01</v>
      </c>
      <c r="D48">
        <v>-1</v>
      </c>
      <c r="E48" s="5">
        <v>1</v>
      </c>
    </row>
    <row r="49" spans="2:5" x14ac:dyDescent="0.25">
      <c r="B49" s="4" t="s">
        <v>64</v>
      </c>
      <c r="C49">
        <v>8.02</v>
      </c>
      <c r="D49">
        <v>-1</v>
      </c>
      <c r="E49" s="5">
        <v>1</v>
      </c>
    </row>
    <row r="50" spans="2:5" x14ac:dyDescent="0.25">
      <c r="B50" s="4" t="s">
        <v>62</v>
      </c>
      <c r="C50">
        <v>8.0299999999999994</v>
      </c>
      <c r="D50">
        <v>1</v>
      </c>
      <c r="E50" s="5">
        <v>-1</v>
      </c>
    </row>
    <row r="51" spans="2:5" x14ac:dyDescent="0.25">
      <c r="B51" s="4" t="s">
        <v>62</v>
      </c>
      <c r="C51">
        <v>8.0399999999999991</v>
      </c>
      <c r="D51">
        <v>-1</v>
      </c>
      <c r="E51" s="5">
        <v>1</v>
      </c>
    </row>
    <row r="52" spans="2:5" x14ac:dyDescent="0.25">
      <c r="B52" s="4" t="s">
        <v>64</v>
      </c>
      <c r="C52">
        <v>8.0500000000000007</v>
      </c>
      <c r="D52">
        <v>1</v>
      </c>
      <c r="E52" s="5">
        <v>-1</v>
      </c>
    </row>
    <row r="53" spans="2:5" x14ac:dyDescent="0.25">
      <c r="B53" s="4"/>
      <c r="E53" s="5"/>
    </row>
    <row r="54" spans="2:5" ht="15.75" thickBot="1" x14ac:dyDescent="0.3">
      <c r="B54" s="6"/>
      <c r="C54" s="7"/>
      <c r="D54" s="7"/>
      <c r="E54" s="8"/>
    </row>
  </sheetData>
  <sheetProtection algorithmName="SHA-512" hashValue="0mtPXeV4RFX+M/sGdOGKeuK5NWlJbk/75EF/Z/DHrnEM9OlRwDreGoshUwzHDRLvA3A9Y2G+zbNh26ykXbCpNg==" saltValue="1/xWeOpxhY5vxCpyg9dG1A==" spinCount="100000" sheet="1" objects="1" scenarios="1"/>
  <mergeCells count="15">
    <mergeCell ref="H2:R2"/>
    <mergeCell ref="H12:L12"/>
    <mergeCell ref="H14:H15"/>
    <mergeCell ref="M12:R15"/>
    <mergeCell ref="H19:K19"/>
    <mergeCell ref="D7:E8"/>
    <mergeCell ref="D12:E16"/>
    <mergeCell ref="D39:E39"/>
    <mergeCell ref="H3:R3"/>
    <mergeCell ref="H4:Q4"/>
    <mergeCell ref="H5:H6"/>
    <mergeCell ref="H7:H11"/>
    <mergeCell ref="H25:K25"/>
    <mergeCell ref="I26:K26"/>
    <mergeCell ref="I27:K2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9724D-15DB-4E0F-87F1-EE2DC5DF0787}">
  <dimension ref="A1:D61"/>
  <sheetViews>
    <sheetView workbookViewId="0">
      <selection activeCell="G1" sqref="G1"/>
    </sheetView>
  </sheetViews>
  <sheetFormatPr defaultColWidth="8.85546875" defaultRowHeight="15" x14ac:dyDescent="0.25"/>
  <cols>
    <col min="1" max="1" width="7.140625" customWidth="1"/>
    <col min="2" max="2" width="64.42578125" customWidth="1"/>
  </cols>
  <sheetData>
    <row r="1" spans="1:4" ht="109.5" customHeight="1" x14ac:dyDescent="0.25">
      <c r="A1" s="153" t="str">
        <f>'WRA Worksheet'!F1</f>
        <v>Assessment date: July 26, 2024 Prepared by Seokmin Kim</v>
      </c>
      <c r="B1" s="154"/>
      <c r="C1" s="154"/>
      <c r="D1" s="98" t="s">
        <v>105</v>
      </c>
    </row>
    <row r="2" spans="1:4" ht="18.75" x14ac:dyDescent="0.25">
      <c r="A2" s="150" t="s">
        <v>106</v>
      </c>
      <c r="B2" s="151"/>
      <c r="C2" s="73" t="s">
        <v>3</v>
      </c>
      <c r="D2" s="73" t="s">
        <v>4</v>
      </c>
    </row>
    <row r="3" spans="1:4" x14ac:dyDescent="0.25">
      <c r="A3" s="74">
        <v>1.01</v>
      </c>
      <c r="B3" s="75" t="s">
        <v>8</v>
      </c>
      <c r="C3" s="76" t="str">
        <f>'WRA Worksheet'!C3</f>
        <v>n</v>
      </c>
      <c r="D3" s="82">
        <f>'WRA Worksheet'!D3</f>
        <v>0</v>
      </c>
    </row>
    <row r="4" spans="1:4" x14ac:dyDescent="0.25">
      <c r="A4" s="74">
        <v>1.02</v>
      </c>
      <c r="B4" s="75" t="s">
        <v>9</v>
      </c>
      <c r="C4" s="76">
        <f>'WRA Worksheet'!C4</f>
        <v>0</v>
      </c>
      <c r="D4" s="82" t="str">
        <f>'WRA Worksheet'!D4</f>
        <v xml:space="preserve"> </v>
      </c>
    </row>
    <row r="5" spans="1:4" x14ac:dyDescent="0.25">
      <c r="A5" s="74">
        <v>1.03</v>
      </c>
      <c r="B5" s="75" t="s">
        <v>10</v>
      </c>
      <c r="C5" s="76">
        <f>'WRA Worksheet'!C5</f>
        <v>0</v>
      </c>
      <c r="D5" s="82" t="str">
        <f>'WRA Worksheet'!D5</f>
        <v xml:space="preserve"> </v>
      </c>
    </row>
    <row r="6" spans="1:4" ht="48" x14ac:dyDescent="0.25">
      <c r="A6" s="74">
        <v>2.0099999999999998</v>
      </c>
      <c r="B6" s="77" t="s">
        <v>107</v>
      </c>
      <c r="C6" s="76">
        <f>'WRA Worksheet'!C6</f>
        <v>2</v>
      </c>
      <c r="D6" s="83"/>
    </row>
    <row r="7" spans="1:4" x14ac:dyDescent="0.25">
      <c r="A7" s="74">
        <v>2.02</v>
      </c>
      <c r="B7" s="75" t="s">
        <v>108</v>
      </c>
      <c r="C7" s="76">
        <f>'WRA Worksheet'!C7</f>
        <v>3</v>
      </c>
      <c r="D7" s="83"/>
    </row>
    <row r="8" spans="1:4" x14ac:dyDescent="0.25">
      <c r="A8" s="74">
        <v>2.0299999999999998</v>
      </c>
      <c r="B8" s="75" t="s">
        <v>13</v>
      </c>
      <c r="C8" s="76" t="str">
        <f>'WRA Worksheet'!C8</f>
        <v>y</v>
      </c>
      <c r="D8" s="82">
        <f>'WRA Worksheet'!D8</f>
        <v>1</v>
      </c>
    </row>
    <row r="9" spans="1:4" ht="48" x14ac:dyDescent="0.25">
      <c r="A9" s="74">
        <v>2.04</v>
      </c>
      <c r="B9" s="78" t="s">
        <v>14</v>
      </c>
      <c r="C9" s="76" t="str">
        <f>'WRA Worksheet'!C9</f>
        <v>y</v>
      </c>
      <c r="D9" s="82">
        <f>'WRA Worksheet'!D9</f>
        <v>1</v>
      </c>
    </row>
    <row r="10" spans="1:4" ht="30" x14ac:dyDescent="0.25">
      <c r="A10" s="74">
        <v>2.0499999999999998</v>
      </c>
      <c r="B10" s="75" t="s">
        <v>15</v>
      </c>
      <c r="C10" s="79" t="str">
        <f>'WRA Worksheet'!C10</f>
        <v>y</v>
      </c>
      <c r="D10" s="83"/>
    </row>
    <row r="11" spans="1:4" x14ac:dyDescent="0.25">
      <c r="A11" s="74">
        <v>3.01</v>
      </c>
      <c r="B11" s="75" t="s">
        <v>16</v>
      </c>
      <c r="C11" s="76" t="str">
        <f>'WRA Worksheet'!C11</f>
        <v>y</v>
      </c>
      <c r="D11" s="82">
        <f>'WRA Worksheet'!D11</f>
        <v>1</v>
      </c>
    </row>
    <row r="12" spans="1:4" x14ac:dyDescent="0.25">
      <c r="A12" s="74">
        <v>3.02</v>
      </c>
      <c r="B12" s="75" t="s">
        <v>17</v>
      </c>
      <c r="C12" s="76" t="str">
        <f>'WRA Worksheet'!C12</f>
        <v>y</v>
      </c>
      <c r="D12" s="82">
        <f>'WRA Worksheet'!D12</f>
        <v>1</v>
      </c>
    </row>
    <row r="13" spans="1:4" x14ac:dyDescent="0.25">
      <c r="A13" s="74">
        <v>3.03</v>
      </c>
      <c r="B13" s="75" t="s">
        <v>18</v>
      </c>
      <c r="C13" s="76" t="str">
        <f>'WRA Worksheet'!C13</f>
        <v>?</v>
      </c>
      <c r="D13" s="82" t="str">
        <f>'WRA Worksheet'!D13</f>
        <v/>
      </c>
    </row>
    <row r="14" spans="1:4" x14ac:dyDescent="0.25">
      <c r="A14" s="74">
        <v>3.04</v>
      </c>
      <c r="B14" s="75" t="s">
        <v>19</v>
      </c>
      <c r="C14" s="76" t="str">
        <f>'WRA Worksheet'!C14</f>
        <v>?</v>
      </c>
      <c r="D14" s="82" t="str">
        <f>'WRA Worksheet'!D14</f>
        <v/>
      </c>
    </row>
    <row r="15" spans="1:4" x14ac:dyDescent="0.25">
      <c r="A15" s="74">
        <v>3.05</v>
      </c>
      <c r="B15" s="75" t="s">
        <v>20</v>
      </c>
      <c r="C15" s="76" t="str">
        <f>'WRA Worksheet'!C15</f>
        <v>y</v>
      </c>
      <c r="D15" s="82">
        <f>'WRA Worksheet'!D15</f>
        <v>1</v>
      </c>
    </row>
    <row r="16" spans="1:4" x14ac:dyDescent="0.25">
      <c r="A16" s="74">
        <v>4.01</v>
      </c>
      <c r="B16" s="75" t="s">
        <v>21</v>
      </c>
      <c r="C16" s="76" t="str">
        <f>'WRA Worksheet'!C16</f>
        <v>n</v>
      </c>
      <c r="D16" s="82">
        <f>'WRA Worksheet'!D16</f>
        <v>0</v>
      </c>
    </row>
    <row r="17" spans="1:4" x14ac:dyDescent="0.25">
      <c r="A17" s="74">
        <v>4.0199999999999996</v>
      </c>
      <c r="B17" s="75" t="s">
        <v>22</v>
      </c>
      <c r="C17" s="76" t="str">
        <f>'WRA Worksheet'!C17</f>
        <v>?</v>
      </c>
      <c r="D17" s="82" t="str">
        <f>'WRA Worksheet'!D17</f>
        <v xml:space="preserve"> </v>
      </c>
    </row>
    <row r="18" spans="1:4" x14ac:dyDescent="0.25">
      <c r="A18" s="74">
        <v>4.03</v>
      </c>
      <c r="B18" s="75" t="s">
        <v>23</v>
      </c>
      <c r="C18" s="76" t="str">
        <f>'WRA Worksheet'!C18</f>
        <v>n</v>
      </c>
      <c r="D18" s="82">
        <f>'WRA Worksheet'!D18</f>
        <v>0</v>
      </c>
    </row>
    <row r="19" spans="1:4" x14ac:dyDescent="0.25">
      <c r="A19" s="74">
        <v>4.04</v>
      </c>
      <c r="B19" s="75" t="s">
        <v>24</v>
      </c>
      <c r="C19" s="76" t="str">
        <f>'WRA Worksheet'!C19</f>
        <v>?</v>
      </c>
      <c r="D19" s="82" t="str">
        <f>'WRA Worksheet'!D19</f>
        <v xml:space="preserve"> </v>
      </c>
    </row>
    <row r="20" spans="1:4" x14ac:dyDescent="0.25">
      <c r="A20" s="74">
        <v>4.05</v>
      </c>
      <c r="B20" s="75" t="s">
        <v>25</v>
      </c>
      <c r="C20" s="76" t="str">
        <f>'WRA Worksheet'!C20</f>
        <v>y</v>
      </c>
      <c r="D20" s="82">
        <f>'WRA Worksheet'!D20</f>
        <v>1</v>
      </c>
    </row>
    <row r="21" spans="1:4" x14ac:dyDescent="0.25">
      <c r="A21" s="74">
        <v>4.0599999999999996</v>
      </c>
      <c r="B21" s="75" t="s">
        <v>26</v>
      </c>
      <c r="C21" s="76" t="str">
        <f>'WRA Worksheet'!C21</f>
        <v>n</v>
      </c>
      <c r="D21" s="82">
        <f>'WRA Worksheet'!D21</f>
        <v>0</v>
      </c>
    </row>
    <row r="22" spans="1:4" x14ac:dyDescent="0.25">
      <c r="A22" s="74">
        <v>4.07</v>
      </c>
      <c r="B22" s="75" t="s">
        <v>27</v>
      </c>
      <c r="C22" s="76" t="str">
        <f>'WRA Worksheet'!C22</f>
        <v>n</v>
      </c>
      <c r="D22" s="82">
        <f>'WRA Worksheet'!D22</f>
        <v>0</v>
      </c>
    </row>
    <row r="23" spans="1:4" x14ac:dyDescent="0.25">
      <c r="A23" s="74">
        <v>4.08</v>
      </c>
      <c r="B23" s="75" t="s">
        <v>28</v>
      </c>
      <c r="C23" s="76" t="str">
        <f>'WRA Worksheet'!C23</f>
        <v>?</v>
      </c>
      <c r="D23" s="82" t="str">
        <f>'WRA Worksheet'!D23</f>
        <v xml:space="preserve"> </v>
      </c>
    </row>
    <row r="24" spans="1:4" x14ac:dyDescent="0.25">
      <c r="A24" s="74">
        <v>4.09</v>
      </c>
      <c r="B24" s="75" t="s">
        <v>29</v>
      </c>
      <c r="C24" s="76" t="str">
        <f>'WRA Worksheet'!C24</f>
        <v>n</v>
      </c>
      <c r="D24" s="82">
        <f>'WRA Worksheet'!D24</f>
        <v>0</v>
      </c>
    </row>
    <row r="25" spans="1:4" ht="45" x14ac:dyDescent="0.25">
      <c r="A25" s="74">
        <v>4.0999999999999996</v>
      </c>
      <c r="B25" s="80" t="s">
        <v>30</v>
      </c>
      <c r="C25" s="76" t="str">
        <f>'WRA Worksheet'!C25</f>
        <v>n</v>
      </c>
      <c r="D25" s="82">
        <f>'WRA Worksheet'!D25</f>
        <v>0</v>
      </c>
    </row>
    <row r="26" spans="1:4" x14ac:dyDescent="0.25">
      <c r="A26" s="74">
        <v>4.1100000000000003</v>
      </c>
      <c r="B26" s="75" t="s">
        <v>31</v>
      </c>
      <c r="C26" s="76" t="str">
        <f>'WRA Worksheet'!C26</f>
        <v>n</v>
      </c>
      <c r="D26" s="82">
        <f>'WRA Worksheet'!D26</f>
        <v>0</v>
      </c>
    </row>
    <row r="27" spans="1:4" x14ac:dyDescent="0.25">
      <c r="A27" s="74">
        <v>4.12</v>
      </c>
      <c r="B27" s="75" t="s">
        <v>32</v>
      </c>
      <c r="C27" s="76" t="str">
        <f>'WRA Worksheet'!C27</f>
        <v>n</v>
      </c>
      <c r="D27" s="82">
        <f>'WRA Worksheet'!D27</f>
        <v>0</v>
      </c>
    </row>
    <row r="28" spans="1:4" x14ac:dyDescent="0.25">
      <c r="A28" s="74">
        <v>5.01</v>
      </c>
      <c r="B28" s="75" t="s">
        <v>33</v>
      </c>
      <c r="C28" s="76" t="str">
        <f>'WRA Worksheet'!C28</f>
        <v>n</v>
      </c>
      <c r="D28" s="82">
        <f>'WRA Worksheet'!D28</f>
        <v>0</v>
      </c>
    </row>
    <row r="29" spans="1:4" x14ac:dyDescent="0.25">
      <c r="A29" s="74">
        <v>5.0199999999999996</v>
      </c>
      <c r="B29" s="75" t="s">
        <v>34</v>
      </c>
      <c r="C29" s="76" t="str">
        <f>'WRA Worksheet'!C29</f>
        <v>n</v>
      </c>
      <c r="D29" s="82">
        <f>'WRA Worksheet'!D29</f>
        <v>0</v>
      </c>
    </row>
    <row r="30" spans="1:4" x14ac:dyDescent="0.25">
      <c r="A30" s="74">
        <v>5.03</v>
      </c>
      <c r="B30" s="75" t="s">
        <v>35</v>
      </c>
      <c r="C30" s="76" t="str">
        <f>'WRA Worksheet'!C30</f>
        <v>n</v>
      </c>
      <c r="D30" s="82">
        <f>'WRA Worksheet'!D30</f>
        <v>0</v>
      </c>
    </row>
    <row r="31" spans="1:4" x14ac:dyDescent="0.25">
      <c r="A31" s="74">
        <v>5.04</v>
      </c>
      <c r="B31" s="75" t="s">
        <v>36</v>
      </c>
      <c r="C31" s="76" t="str">
        <f>'WRA Worksheet'!C31</f>
        <v>y</v>
      </c>
      <c r="D31" s="82">
        <f>'WRA Worksheet'!D31</f>
        <v>1</v>
      </c>
    </row>
    <row r="32" spans="1:4" x14ac:dyDescent="0.25">
      <c r="A32" s="74">
        <v>6.01</v>
      </c>
      <c r="B32" s="75" t="s">
        <v>37</v>
      </c>
      <c r="C32" s="76" t="str">
        <f>'WRA Worksheet'!C32</f>
        <v>n</v>
      </c>
      <c r="D32" s="82">
        <f>'WRA Worksheet'!D32</f>
        <v>0</v>
      </c>
    </row>
    <row r="33" spans="1:4" x14ac:dyDescent="0.25">
      <c r="A33" s="74">
        <v>6.02</v>
      </c>
      <c r="B33" s="75" t="s">
        <v>38</v>
      </c>
      <c r="C33" s="76" t="str">
        <f>'WRA Worksheet'!C33</f>
        <v>y</v>
      </c>
      <c r="D33" s="82">
        <f>'WRA Worksheet'!D33</f>
        <v>1</v>
      </c>
    </row>
    <row r="34" spans="1:4" x14ac:dyDescent="0.25">
      <c r="A34" s="74">
        <v>6.03</v>
      </c>
      <c r="B34" s="75" t="s">
        <v>39</v>
      </c>
      <c r="C34" s="76" t="str">
        <f>'WRA Worksheet'!C34</f>
        <v>y</v>
      </c>
      <c r="D34" s="82">
        <f>'WRA Worksheet'!D34</f>
        <v>1</v>
      </c>
    </row>
    <row r="35" spans="1:4" x14ac:dyDescent="0.25">
      <c r="A35" s="74">
        <v>6.04</v>
      </c>
      <c r="B35" s="75" t="s">
        <v>40</v>
      </c>
      <c r="C35" s="76" t="str">
        <f>'WRA Worksheet'!C35</f>
        <v>?</v>
      </c>
      <c r="D35" s="82" t="str">
        <f>'WRA Worksheet'!D35</f>
        <v xml:space="preserve"> </v>
      </c>
    </row>
    <row r="36" spans="1:4" x14ac:dyDescent="0.25">
      <c r="A36" s="74">
        <v>6.05</v>
      </c>
      <c r="B36" s="75" t="s">
        <v>41</v>
      </c>
      <c r="C36" s="76" t="str">
        <f>'WRA Worksheet'!C36</f>
        <v>n</v>
      </c>
      <c r="D36" s="82">
        <f>'WRA Worksheet'!D36</f>
        <v>0</v>
      </c>
    </row>
    <row r="37" spans="1:4" x14ac:dyDescent="0.25">
      <c r="A37" s="74">
        <v>6.06</v>
      </c>
      <c r="B37" s="75" t="s">
        <v>42</v>
      </c>
      <c r="C37" s="76" t="str">
        <f>'WRA Worksheet'!C37</f>
        <v>y</v>
      </c>
      <c r="D37" s="82">
        <f>'WRA Worksheet'!D37</f>
        <v>1</v>
      </c>
    </row>
    <row r="38" spans="1:4" x14ac:dyDescent="0.25">
      <c r="A38" s="74">
        <v>6.07</v>
      </c>
      <c r="B38" s="75" t="s">
        <v>43</v>
      </c>
      <c r="C38" s="81" t="str">
        <f>'WRA Worksheet'!C38</f>
        <v>1 or fewer</v>
      </c>
      <c r="D38" s="82">
        <f>'WRA Worksheet'!D38</f>
        <v>1</v>
      </c>
    </row>
    <row r="39" spans="1:4" ht="30" x14ac:dyDescent="0.25">
      <c r="A39" s="74">
        <v>7.01</v>
      </c>
      <c r="B39" s="75" t="s">
        <v>44</v>
      </c>
      <c r="C39" s="76" t="str">
        <f>'WRA Worksheet'!C39</f>
        <v>y</v>
      </c>
      <c r="D39" s="82">
        <f>'WRA Worksheet'!D39</f>
        <v>1</v>
      </c>
    </row>
    <row r="40" spans="1:4" x14ac:dyDescent="0.25">
      <c r="A40" s="74">
        <v>7.02</v>
      </c>
      <c r="B40" s="75" t="s">
        <v>45</v>
      </c>
      <c r="C40" s="76" t="str">
        <f>'WRA Worksheet'!C40</f>
        <v>y</v>
      </c>
      <c r="D40" s="82">
        <f>'WRA Worksheet'!D40</f>
        <v>1</v>
      </c>
    </row>
    <row r="41" spans="1:4" x14ac:dyDescent="0.25">
      <c r="A41" s="74">
        <v>7.03</v>
      </c>
      <c r="B41" s="75" t="s">
        <v>46</v>
      </c>
      <c r="C41" s="76" t="str">
        <f>'WRA Worksheet'!C41</f>
        <v>?</v>
      </c>
      <c r="D41" s="82" t="str">
        <f>'WRA Worksheet'!D41</f>
        <v xml:space="preserve"> </v>
      </c>
    </row>
    <row r="42" spans="1:4" x14ac:dyDescent="0.25">
      <c r="A42" s="74">
        <v>7.04</v>
      </c>
      <c r="B42" s="75" t="s">
        <v>47</v>
      </c>
      <c r="C42" s="76" t="str">
        <f>'WRA Worksheet'!C42</f>
        <v>n</v>
      </c>
      <c r="D42" s="82">
        <f>'WRA Worksheet'!D42</f>
        <v>-1</v>
      </c>
    </row>
    <row r="43" spans="1:4" x14ac:dyDescent="0.25">
      <c r="A43" s="74">
        <v>7.05</v>
      </c>
      <c r="B43" s="75" t="s">
        <v>48</v>
      </c>
      <c r="C43" s="76" t="str">
        <f>'WRA Worksheet'!C43</f>
        <v>y</v>
      </c>
      <c r="D43" s="82">
        <f>'WRA Worksheet'!D43</f>
        <v>1</v>
      </c>
    </row>
    <row r="44" spans="1:4" x14ac:dyDescent="0.25">
      <c r="A44" s="74">
        <v>7.06</v>
      </c>
      <c r="B44" s="75" t="s">
        <v>49</v>
      </c>
      <c r="C44" s="76" t="str">
        <f>'WRA Worksheet'!C44</f>
        <v>n</v>
      </c>
      <c r="D44" s="82">
        <f>'WRA Worksheet'!D44</f>
        <v>-1</v>
      </c>
    </row>
    <row r="45" spans="1:4" x14ac:dyDescent="0.25">
      <c r="A45" s="74">
        <v>7.07</v>
      </c>
      <c r="B45" s="75" t="s">
        <v>50</v>
      </c>
      <c r="C45" s="76" t="str">
        <f>'WRA Worksheet'!C45</f>
        <v>n</v>
      </c>
      <c r="D45" s="82">
        <f>'WRA Worksheet'!D45</f>
        <v>-1</v>
      </c>
    </row>
    <row r="46" spans="1:4" x14ac:dyDescent="0.25">
      <c r="A46" s="74">
        <v>7.08</v>
      </c>
      <c r="B46" s="75" t="s">
        <v>51</v>
      </c>
      <c r="C46" s="76" t="str">
        <f>'WRA Worksheet'!C46</f>
        <v>n</v>
      </c>
      <c r="D46" s="82">
        <f>'WRA Worksheet'!D46</f>
        <v>-1</v>
      </c>
    </row>
    <row r="47" spans="1:4" x14ac:dyDescent="0.25">
      <c r="A47" s="74">
        <v>8.01</v>
      </c>
      <c r="B47" s="75" t="s">
        <v>52</v>
      </c>
      <c r="C47" s="76" t="str">
        <f>'WRA Worksheet'!C47</f>
        <v>n</v>
      </c>
      <c r="D47" s="82">
        <f>'WRA Worksheet'!D47</f>
        <v>-1</v>
      </c>
    </row>
    <row r="48" spans="1:4" x14ac:dyDescent="0.25">
      <c r="A48" s="74">
        <v>8.02</v>
      </c>
      <c r="B48" s="75" t="s">
        <v>53</v>
      </c>
      <c r="C48" s="76" t="str">
        <f>'WRA Worksheet'!C48</f>
        <v>y</v>
      </c>
      <c r="D48" s="82">
        <f>'WRA Worksheet'!D48</f>
        <v>1</v>
      </c>
    </row>
    <row r="49" spans="1:4" x14ac:dyDescent="0.25">
      <c r="A49" s="74">
        <v>8.0299999999999994</v>
      </c>
      <c r="B49" s="75" t="s">
        <v>54</v>
      </c>
      <c r="C49" s="76" t="str">
        <f>'WRA Worksheet'!C49</f>
        <v>y</v>
      </c>
      <c r="D49" s="82">
        <f>'WRA Worksheet'!D49</f>
        <v>-1</v>
      </c>
    </row>
    <row r="50" spans="1:4" x14ac:dyDescent="0.25">
      <c r="A50" s="74">
        <v>8.0399999999999991</v>
      </c>
      <c r="B50" s="75" t="s">
        <v>55</v>
      </c>
      <c r="C50" s="76" t="str">
        <f>'WRA Worksheet'!C50</f>
        <v>y</v>
      </c>
      <c r="D50" s="82">
        <f>'WRA Worksheet'!D50</f>
        <v>1</v>
      </c>
    </row>
    <row r="51" spans="1:4" x14ac:dyDescent="0.25">
      <c r="A51" s="74">
        <v>8.0500000000000007</v>
      </c>
      <c r="B51" s="67" t="s">
        <v>56</v>
      </c>
      <c r="C51" s="76" t="str">
        <f>'WRA Worksheet'!C51</f>
        <v>?</v>
      </c>
      <c r="D51" s="82" t="str">
        <f>'WRA Worksheet'!D51</f>
        <v xml:space="preserve"> </v>
      </c>
    </row>
    <row r="52" spans="1:4" x14ac:dyDescent="0.25">
      <c r="A52" s="31"/>
      <c r="B52" s="32" t="s">
        <v>57</v>
      </c>
      <c r="C52" s="152">
        <f>'WRA Worksheet'!D53</f>
        <v>10</v>
      </c>
      <c r="D52" s="152"/>
    </row>
    <row r="53" spans="1:4" x14ac:dyDescent="0.25">
      <c r="A53" s="33"/>
      <c r="B53" s="34" t="s">
        <v>109</v>
      </c>
      <c r="C53" s="152" t="str" cm="1">
        <f t="array" ref="C53">IF(OR('WRA Worksheet'!C71:D71="yes", 'WRA Worksheet'!C72:D72="yes", 'WRA Worksheet'!C73:D73="yes"),"yes","no")</f>
        <v>no</v>
      </c>
      <c r="D53" s="152"/>
    </row>
    <row r="54" spans="1:4" x14ac:dyDescent="0.25">
      <c r="A54" s="33"/>
      <c r="B54" s="34" t="s">
        <v>110</v>
      </c>
      <c r="C54" s="152" t="str">
        <f>IF(C53="yes", 'WRA Worksheet'!C74, 'WRA Worksheet'!D54)</f>
        <v>reject</v>
      </c>
      <c r="D54" s="152"/>
    </row>
    <row r="55" spans="1:4" ht="15.75" thickBot="1" x14ac:dyDescent="0.3">
      <c r="A55" s="35"/>
      <c r="B55" s="36"/>
      <c r="C55" s="36"/>
      <c r="D55" s="37"/>
    </row>
    <row r="56" spans="1:4" ht="39.75" thickTop="1" x14ac:dyDescent="0.25">
      <c r="A56" s="38" t="s">
        <v>111</v>
      </c>
      <c r="B56" s="39" t="s">
        <v>112</v>
      </c>
      <c r="C56" s="40" t="s">
        <v>61</v>
      </c>
      <c r="D56" s="37"/>
    </row>
    <row r="57" spans="1:4" x14ac:dyDescent="0.25">
      <c r="A57" s="41" t="s">
        <v>62</v>
      </c>
      <c r="B57" s="42">
        <f>'WRA Worksheet'!C57</f>
        <v>9</v>
      </c>
      <c r="C57" s="43" t="str">
        <f>IF(B57&gt;=2,"yes","no")</f>
        <v>yes</v>
      </c>
      <c r="D57" s="37"/>
    </row>
    <row r="58" spans="1:4" x14ac:dyDescent="0.25">
      <c r="A58" s="41" t="s">
        <v>63</v>
      </c>
      <c r="B58" s="42">
        <f>'WRA Worksheet'!C58</f>
        <v>9</v>
      </c>
      <c r="C58" s="43" t="str">
        <f>IF(B58&gt;=2,"yes","no")</f>
        <v>yes</v>
      </c>
      <c r="D58" s="37"/>
    </row>
    <row r="59" spans="1:4" x14ac:dyDescent="0.25">
      <c r="A59" s="41" t="s">
        <v>64</v>
      </c>
      <c r="B59" s="42">
        <f>'WRA Worksheet'!C59</f>
        <v>20</v>
      </c>
      <c r="C59" s="43" t="str">
        <f>IF(B59&gt;=6,"yes","no")</f>
        <v>yes</v>
      </c>
      <c r="D59" s="37"/>
    </row>
    <row r="60" spans="1:4" ht="15.75" thickBot="1" x14ac:dyDescent="0.3">
      <c r="A60" s="44" t="s">
        <v>65</v>
      </c>
      <c r="B60" s="45">
        <f>'WRA Worksheet'!C60</f>
        <v>38</v>
      </c>
      <c r="C60" s="46" t="str">
        <f>IF(C57="no","no",IF(C58="no","no",IF(C59="no","no","yes")))</f>
        <v>yes</v>
      </c>
      <c r="D60" s="37"/>
    </row>
    <row r="61" spans="1:4" ht="15.75" thickTop="1" x14ac:dyDescent="0.25"/>
  </sheetData>
  <sheetProtection algorithmName="SHA-512" hashValue="OUPP6/JLKjaOreRnDsqedMxLQ5QXL0Eh+Rws3VhK3vD2Gyo6l4J6cu1Tr5oxN4ZoMbAZCxsipXqLcQtAUkOMKQ==" saltValue="SQl0PRYgekQzaekw/tcing==" spinCount="100000" sheet="1" objects="1" scenarios="1" formatCells="0"/>
  <mergeCells count="5">
    <mergeCell ref="A2:B2"/>
    <mergeCell ref="C52:D52"/>
    <mergeCell ref="C53:D53"/>
    <mergeCell ref="C54:D54"/>
    <mergeCell ref="A1:C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A353-381C-4CCD-9F7C-6233287381B8}">
  <sheetPr>
    <tabColor theme="0"/>
  </sheetPr>
  <dimension ref="A1:C50"/>
  <sheetViews>
    <sheetView workbookViewId="0">
      <selection activeCell="C15" sqref="C15"/>
    </sheetView>
  </sheetViews>
  <sheetFormatPr defaultColWidth="8.85546875" defaultRowHeight="15" x14ac:dyDescent="0.25"/>
  <cols>
    <col min="1" max="1" width="5" customWidth="1"/>
    <col min="2" max="3" width="49.42578125" customWidth="1"/>
  </cols>
  <sheetData>
    <row r="1" spans="1:3" ht="28.5" customHeight="1" x14ac:dyDescent="0.25">
      <c r="A1" s="47"/>
      <c r="B1" s="48" t="s">
        <v>6</v>
      </c>
      <c r="C1" s="49" t="s">
        <v>7</v>
      </c>
    </row>
    <row r="2" spans="1:3" x14ac:dyDescent="0.25">
      <c r="A2" s="30">
        <v>1.01</v>
      </c>
      <c r="B2" s="50" t="str" cm="1">
        <f t="array" ref="B2:C50">'WRA Worksheet'!F3:G51</f>
        <v>No evidence plant is highly domesticated</v>
      </c>
      <c r="C2" s="51">
        <v>0</v>
      </c>
    </row>
    <row r="3" spans="1:3" x14ac:dyDescent="0.25">
      <c r="A3" s="30">
        <v>1.02</v>
      </c>
      <c r="B3" s="50">
        <v>0</v>
      </c>
      <c r="C3" s="50">
        <v>0</v>
      </c>
    </row>
    <row r="4" spans="1:3" x14ac:dyDescent="0.25">
      <c r="A4" s="30">
        <v>1.03</v>
      </c>
      <c r="B4" s="50">
        <v>0</v>
      </c>
      <c r="C4" s="50">
        <v>0</v>
      </c>
    </row>
    <row r="5" spans="1:3" ht="30" x14ac:dyDescent="0.25">
      <c r="A5" s="30">
        <v>2.0099999999999998</v>
      </c>
      <c r="B5" s="52" t="str">
        <v>Highly suited for Central and North. Not suited for South</v>
      </c>
      <c r="C5" s="53" t="str">
        <v>See attached climate suitability map</v>
      </c>
    </row>
    <row r="6" spans="1:3" x14ac:dyDescent="0.25">
      <c r="A6" s="30">
        <v>2.02</v>
      </c>
      <c r="B6" s="53" t="str">
        <v>See attached climate suitability map</v>
      </c>
      <c r="C6" s="54">
        <v>0</v>
      </c>
    </row>
    <row r="7" spans="1:3" x14ac:dyDescent="0.25">
      <c r="A7" s="30">
        <v>2.0299999999999998</v>
      </c>
      <c r="B7" s="54" t="str">
        <v>See attached climate suitability map</v>
      </c>
      <c r="C7" s="53">
        <v>0</v>
      </c>
    </row>
    <row r="8" spans="1:3" x14ac:dyDescent="0.25">
      <c r="A8" s="30">
        <v>2.04</v>
      </c>
      <c r="B8" s="51" t="str">
        <v>See attached climate suitability map</v>
      </c>
      <c r="C8" s="51">
        <v>0</v>
      </c>
    </row>
    <row r="9" spans="1:3" ht="75" x14ac:dyDescent="0.25">
      <c r="A9" s="30">
        <v>2.0499999999999998</v>
      </c>
      <c r="B9" s="51" t="str">
        <v>1. 2. Native to continental Europe and Western Asia. Introduced to North America, East Asia and South America</v>
      </c>
      <c r="C9" s="53" t="str">
        <v>1. https://powo.science.kew.org/taxon/urn:lsid:ipni.org:names:120815-1 2. https://accs.uaa.alaska.edu/wp-content/uploads/Symphytum_officinale_BIO_SYOF.pdf</v>
      </c>
    </row>
    <row r="10" spans="1:3" x14ac:dyDescent="0.25">
      <c r="A10" s="30">
        <v>3.01</v>
      </c>
      <c r="B10" s="51" t="str">
        <v>See above answer</v>
      </c>
      <c r="C10" s="53">
        <v>0</v>
      </c>
    </row>
    <row r="11" spans="1:3" ht="75" x14ac:dyDescent="0.25">
      <c r="A11" s="30">
        <v>3.02</v>
      </c>
      <c r="B11" s="50" t="str">
        <v>1. Establishes in nutrient-rich soil in a disturbed area or garden. 2. Found in sunny, disturbed areas</v>
      </c>
      <c r="C11" s="53" t="str">
        <v>1. https://accs.uaa.alaska.edu/wp-content/uploads/Symphytum_officinale_BIO_SYOF.pdf 2. https://uwmadison.app.box.com/s/vi49mdh929t3rcwe9ko33mqscynnfso3</v>
      </c>
    </row>
    <row r="12" spans="1:3" x14ac:dyDescent="0.25">
      <c r="A12" s="30">
        <v>3.03</v>
      </c>
      <c r="B12" s="50" t="str">
        <v>1. Noted as an agricultural weed for fodder plants and pastures, cereals, root crops, and orchards. 2. Noted as a weed of agriculture in Finland. However, not much information regarding productivity losses. Answered UNKNOWN</v>
      </c>
      <c r="C12" s="53" t="str">
        <v>1. https://hal.science/hal-00886262/file/hal-00886262.pdf 2. https://helda.helsinki.fi/server/api/core/bitstreams/3e5cef50-d52e-40d4-b4ea-b168292b2ffd/content</v>
      </c>
    </row>
    <row r="13" spans="1:3" x14ac:dyDescent="0.25">
      <c r="A13" s="30">
        <v>3.04</v>
      </c>
      <c r="B13" s="51" t="str">
        <v>1. Could compete with native species for pollinators. 2. Can crowd out native species. Of particular concern near streams. However, not much information about its ecological effects on threatened or conserved areas. Answered UNKNOWN</v>
      </c>
      <c r="C13" s="53" t="str">
        <v>1. https://link.springer.com/content/pdf/10.1007/s004420050402.pdf 2. https://www.gardenia.net/guide/native-plant-alternatives-to-symphytum-officinale</v>
      </c>
    </row>
    <row r="14" spans="1:3" ht="135" x14ac:dyDescent="0.25">
      <c r="A14" s="30">
        <v>3.05</v>
      </c>
      <c r="B14" s="51" t="str">
        <v>1. 2. S. asperum is considered noxious in California</v>
      </c>
      <c r="C14" s="53" t="str">
        <v>1. https://accs.uaa.alaska.edu/wp-content/uploads/Symphytum_officinale_BIO_SYOF.pdf 2. https://www.missouribotanicalgarden.org/PlantFinder/PlantFinderDetails.aspx?taxonid=277976&amp;isprofile=0&amp;letter=S#:~:text=Symphytum%20asperum%20%2D%20Plant%20Finder&amp;text=This%20plant%20has%20been%20found,be%20planted%20in%20Midwestern%20gardens.</v>
      </c>
    </row>
    <row r="15" spans="1:3" x14ac:dyDescent="0.25">
      <c r="A15" s="30">
        <v>4.01</v>
      </c>
      <c r="B15" s="50" t="str">
        <v>No evidence plant produces such characteristics</v>
      </c>
      <c r="C15" s="55">
        <v>0</v>
      </c>
    </row>
    <row r="16" spans="1:3" x14ac:dyDescent="0.25">
      <c r="A16" s="30">
        <v>4.0199999999999996</v>
      </c>
      <c r="B16" s="51" t="str">
        <v>1. allelochemicals isolated from extracts of plant leaves. 2. Not noted as allelopathic. Given absence of field tests, answered UNKNOWN</v>
      </c>
      <c r="C16" s="51" t="str">
        <v>1. https://www.jstage.jst.go.jp/article/weed1962/50/Supplement/50_Supplement_94/_pdf/-char/en 2. https://rozendale.com/index.php/03families/details/21/14</v>
      </c>
    </row>
    <row r="17" spans="1:3" x14ac:dyDescent="0.25">
      <c r="A17" s="30">
        <v>4.03</v>
      </c>
      <c r="B17" s="51" t="str">
        <v>No evidence plant is parasitic</v>
      </c>
      <c r="C17" s="51">
        <v>0</v>
      </c>
    </row>
    <row r="18" spans="1:3" x14ac:dyDescent="0.25">
      <c r="A18" s="30">
        <v>4.04</v>
      </c>
      <c r="B18" s="51" t="str">
        <v>1. Not recommended as a forage crop due to low palatability 2. Can be eaten by pigs, sheep, and poultry but cattle, rabbits and hroses will only consume wilted leaves.</v>
      </c>
      <c r="C18" s="51" t="str">
        <v>1. https://www.feedipedia.org/node/92 2. https://www.permaculture.co.uk/articles/comfrey-its-history-uses-benefits/</v>
      </c>
    </row>
    <row r="19" spans="1:3" x14ac:dyDescent="0.25">
      <c r="A19" s="30">
        <v>4.05</v>
      </c>
      <c r="B19" s="51" t="str">
        <v>1. 2. 3. Known to cause liver damage in people. Therefore may be toxic to animals when consumed in large quantities</v>
      </c>
      <c r="C19" s="51" t="str">
        <v>1. https://www.ncbi.nlm.nih.gov/books/NBK548370/ 2. https://www.cambridge.org/core/services/aop-cambridge-core/content/view/50C49FEFA056383BD2298CA9184CEE74/S1368980000000586a.pdf/the-efficacy-and-safety-of-comfrey.pdf 3. https://pnwplants.wsu.edu/PlantDisplay.aspx?PlantID=522</v>
      </c>
    </row>
    <row r="20" spans="1:3" x14ac:dyDescent="0.25">
      <c r="A20" s="30">
        <v>4.0599999999999996</v>
      </c>
      <c r="B20" s="51" t="str">
        <v>No evidence plant is host for recognized pests and pathogens</v>
      </c>
      <c r="C20" s="51">
        <v>0</v>
      </c>
    </row>
    <row r="21" spans="1:3" x14ac:dyDescent="0.25">
      <c r="A21" s="30">
        <v>4.07</v>
      </c>
      <c r="B21" s="51" t="str">
        <v>1. 2. Known to cause liver damage in people when consumed. However, no evidence found that casual interaction with plant causes allergies or physical discomfort</v>
      </c>
      <c r="C21" s="51" t="str">
        <v>1. https://www.ncbi.nlm.nih.gov/books/NBK548370/ 2. https://www.cambridge.org/core/services/aop-cambridge-core/content/view/50C49FEFA056383BD2298CA9184CEE74/S1368980000000586a.pdf/the-efficacy-and-safety-of-comfrey.pdf</v>
      </c>
    </row>
    <row r="22" spans="1:3" x14ac:dyDescent="0.25">
      <c r="A22" s="30">
        <v>4.08</v>
      </c>
      <c r="B22" s="51" t="str">
        <v>1. Noted as one of the plants that needed to be managed to reduce fire risk around power plants. However, no evidence found that plant significantly increases fire risk</v>
      </c>
      <c r="C22" s="53" t="str">
        <v>1. https://www.sciencedirect.com/science/article/pii/S1364032122003951?casa_token=RiXGyfA_ZSgAAAAA:Ji1lmLgJXyAt-oQ24rFunEXtjipetFwntnOhs5u4mkn1rT4-TDVvW5TZnx8u_LRg1XBke30sRg</v>
      </c>
    </row>
    <row r="23" spans="1:3" ht="30" x14ac:dyDescent="0.25">
      <c r="A23" s="30">
        <v>4.09</v>
      </c>
      <c r="B23" s="51" t="str">
        <v>1. 2. Grows best in full sun to part shade</v>
      </c>
      <c r="C23" s="51" t="str">
        <v>1. https://plants.ces.ncsu.edu/plants/symphytum-officinale/ 2. https://pnwplants.wsu.edu/PlantDisplay.aspx?PlantID=522</v>
      </c>
    </row>
    <row r="24" spans="1:3" ht="45" x14ac:dyDescent="0.25">
      <c r="A24" s="30">
        <v>4.0999999999999996</v>
      </c>
      <c r="B24" s="51" t="str">
        <v>1. 2. Plant grows on fertile soils. 3. Noted as being able to adapt to many soils, but not evidence specifically for infertile soils mentioned in the question.</v>
      </c>
      <c r="C24" s="51" t="str">
        <v>1. https://accs.uaa.alaska.edu/wp-content/uploads/Symphytum_officinale_BIO_SYOF.pdf 2. https://plants.ces.ncsu.edu/plants/symphytum-officinale/ 3. https://hort.purdue.edu/newcrop/afcm/comfrey.html</v>
      </c>
    </row>
    <row r="25" spans="1:3" x14ac:dyDescent="0.25">
      <c r="A25" s="30">
        <v>4.1100000000000003</v>
      </c>
      <c r="B25" s="51" t="str">
        <v>No evidence plant has such growth habits</v>
      </c>
      <c r="C25" s="51">
        <v>0</v>
      </c>
    </row>
    <row r="26" spans="1:3" x14ac:dyDescent="0.25">
      <c r="A26" s="30">
        <v>4.12</v>
      </c>
      <c r="B26" s="51" t="str">
        <v>No evidence plant forms dense thickets</v>
      </c>
      <c r="C26" s="51">
        <v>0</v>
      </c>
    </row>
    <row r="27" spans="1:3" x14ac:dyDescent="0.25">
      <c r="A27" s="30">
        <v>5.01</v>
      </c>
      <c r="B27" s="51" t="str">
        <v>No evidence plant is aquatic</v>
      </c>
      <c r="C27" s="51">
        <v>0</v>
      </c>
    </row>
    <row r="28" spans="1:3" x14ac:dyDescent="0.25">
      <c r="A28" s="30">
        <v>5.0199999999999996</v>
      </c>
      <c r="B28" s="51" t="str">
        <v>Plant is not of the Poaceae family</v>
      </c>
      <c r="C28" s="51">
        <v>0</v>
      </c>
    </row>
    <row r="29" spans="1:3" x14ac:dyDescent="0.25">
      <c r="A29" s="30">
        <v>5.03</v>
      </c>
      <c r="B29" s="51" t="str">
        <v>Plant is not nitrogen fixing</v>
      </c>
      <c r="C29" s="51">
        <v>0</v>
      </c>
    </row>
    <row r="30" spans="1:3" x14ac:dyDescent="0.25">
      <c r="A30" s="30">
        <v>5.04</v>
      </c>
      <c r="B30" s="51" t="str">
        <v>1. 2. Contains roots that are thick, fleshy, and tuber-like</v>
      </c>
      <c r="C30" s="51" t="str">
        <v>1. https://fermanagh.bsbi.org/symphytum-officinale-l 2. https://www.thebryophytanursery.com/listing/1010570515/comfrey-3-roots-or-rhizomes-for-planting</v>
      </c>
    </row>
    <row r="31" spans="1:3" x14ac:dyDescent="0.25">
      <c r="A31" s="30">
        <v>6.01</v>
      </c>
      <c r="B31" s="50" t="str">
        <v>No evidence of substantial reproductive failure in native habitats</v>
      </c>
      <c r="C31" s="51">
        <v>0</v>
      </c>
    </row>
    <row r="32" spans="1:3" ht="75" x14ac:dyDescent="0.25">
      <c r="A32" s="30">
        <v>6.02</v>
      </c>
      <c r="B32" s="51" t="str">
        <v>1. 2. Produces viable seeds</v>
      </c>
      <c r="C32" s="51" t="str">
        <v>1. https://accs.uaa.alaska.edu/wp-content/uploads/Symphytum_officinale_BIO_SYOF.pdf 2. https://uwmadison.app.box.com/s/vi49mdh929t3rcwe9ko33mqscynnfso3</v>
      </c>
    </row>
    <row r="33" spans="1:3" ht="45" x14ac:dyDescent="0.25">
      <c r="A33" s="30">
        <v>6.03</v>
      </c>
      <c r="B33" s="51" t="str">
        <v>1. Rare cases of hybridization with S. asperum found in New England 2. Hybridization with S. asperum possible.</v>
      </c>
      <c r="C33" s="51" t="str">
        <v>1. https://gobotany.nativeplanttrust.org/species/symphytum/officinale/ 2. https://www.publish.csiro.au/ch/pdf/ch9801105</v>
      </c>
    </row>
    <row r="34" spans="1:3" x14ac:dyDescent="0.25">
      <c r="A34" s="30">
        <v>6.04</v>
      </c>
      <c r="B34" s="51" t="str">
        <v>1. Noted as being self incompatible 2. However, manual pollination experiments showed that plant is self-compatible. Given the potential for plants to have other mechanisms to prevent self pollination and contrary evidence, answered UNKJNOWN</v>
      </c>
      <c r="C34" s="51" t="str">
        <v>1. https://pubmed.ncbi.nlm.nih.gov/28308029/ 2. https://www.mdpi.com/2079-7737/10/9/903</v>
      </c>
    </row>
    <row r="35" spans="1:3" x14ac:dyDescent="0.25">
      <c r="A35" s="30">
        <v>6.05</v>
      </c>
      <c r="B35" s="51" t="str">
        <v>1. 2. Pollinated by bees</v>
      </c>
      <c r="C35" s="51" t="str">
        <v>1. https://link.springer.com/content/pdf/10.1007/s004420050402.pdf 2. https://www.researchgate.net/publication/289697853_Flowers_ecology_and_pollen_output_of_Symphytum_officinale_L</v>
      </c>
    </row>
    <row r="36" spans="1:3" x14ac:dyDescent="0.25">
      <c r="A36" s="30">
        <v>6.06</v>
      </c>
      <c r="B36" s="51" t="str">
        <v>1. Will sprout from any root pieces left behind from removal. 2. Noted as being difficult to remove due to vegetative regeneration</v>
      </c>
      <c r="C36" s="51" t="str">
        <v>1. https://plants.ces.ncsu.edu/plants/symphytum-officinale/ 2. https://accs.uaa.alaska.edu/wp-content/uploads/Symphytum_officinale_BIO_SYOF.pdf</v>
      </c>
    </row>
    <row r="37" spans="1:3" x14ac:dyDescent="0.25">
      <c r="A37" s="30">
        <v>6.07</v>
      </c>
      <c r="B37" s="51" t="str">
        <v>1. Flowers can occur after a few months of growth</v>
      </c>
      <c r="C37" s="51" t="str">
        <v>1. https://hort.purdue.edu/newcrop/afcm/comfrey.html</v>
      </c>
    </row>
    <row r="38" spans="1:3" ht="45" x14ac:dyDescent="0.25">
      <c r="A38" s="30">
        <v>7.01</v>
      </c>
      <c r="B38" s="51" t="str">
        <v>1. Plants have escaped gardens and parks. 2. aggressive vegetative growth allows it to spread after tilling that moves plant parts</v>
      </c>
      <c r="C38" s="51" t="str">
        <v>1. https://accs.uaa.alaska.edu/wp-content/uploads/Symphytum_officinale_BIO_SYOF.pdf 2. https://pnwhandbooks.org/weed/problem-weeds/comfrey-symphytum-officinale</v>
      </c>
    </row>
    <row r="39" spans="1:3" ht="60" x14ac:dyDescent="0.25">
      <c r="A39" s="30">
        <v>7.02</v>
      </c>
      <c r="B39" s="51" t="str">
        <v>1. 2. Sold online</v>
      </c>
      <c r="C39" s="51" t="str">
        <v>1. https://www.twisted-tree.net/perennials/comfrey  2. https://plantingjustice.org/products/comfrey-symphytum-officinale-organic</v>
      </c>
    </row>
    <row r="40" spans="1:3" x14ac:dyDescent="0.25">
      <c r="A40" s="30">
        <v>7.03</v>
      </c>
      <c r="B40" s="50" t="str">
        <v>Not much information found, but given that small root fragments can grow into a whole plant, possible it can spread through contaminated soils. Answered UNKNOWN</v>
      </c>
      <c r="C40" s="51">
        <v>0</v>
      </c>
    </row>
    <row r="41" spans="1:3" x14ac:dyDescent="0.25">
      <c r="A41" s="30">
        <v>7.04</v>
      </c>
      <c r="B41" s="51" t="str">
        <v>No evidence plants are adapated to wind dispersal</v>
      </c>
      <c r="C41" s="51">
        <v>0</v>
      </c>
    </row>
    <row r="42" spans="1:3" ht="45" x14ac:dyDescent="0.25">
      <c r="A42" s="30">
        <v>7.05</v>
      </c>
      <c r="B42" s="51" t="str">
        <v>1. 2. Seeds can be dispersed by water.</v>
      </c>
      <c r="C42" s="51" t="str">
        <v>1. https://accs.uaa.alaska.edu/wp-content/uploads/Symphytum_officinale_BIO_SYOF.pdf 2. https://link.springer.com/content/pdf/10.1007/BF00198588.pdf</v>
      </c>
    </row>
    <row r="43" spans="1:3" x14ac:dyDescent="0.25">
      <c r="A43" s="30">
        <v>7.06</v>
      </c>
      <c r="B43" s="51" t="str">
        <v>No evidence plant is adapted for bird dispersal</v>
      </c>
      <c r="C43" s="51">
        <v>0</v>
      </c>
    </row>
    <row r="44" spans="1:3" x14ac:dyDescent="0.25">
      <c r="A44" s="30">
        <v>7.07</v>
      </c>
      <c r="B44" s="51" t="str">
        <v>No evidence found. Not mentioned as a potential vector in a review.</v>
      </c>
      <c r="C44" s="51">
        <v>0</v>
      </c>
    </row>
    <row r="45" spans="1:3" x14ac:dyDescent="0.25">
      <c r="A45" s="30">
        <v>7.08</v>
      </c>
      <c r="B45" s="50" t="str">
        <v>No evidence found. Not mentioned as a potential vector in a review.</v>
      </c>
      <c r="C45" s="51">
        <v>0</v>
      </c>
    </row>
    <row r="46" spans="1:3" x14ac:dyDescent="0.25">
      <c r="A46" s="30">
        <v>8.01</v>
      </c>
      <c r="B46" s="50" t="str">
        <v>1. Plant does not produce many seeds. (1 seed per four nutlets found in each flower.)</v>
      </c>
      <c r="C46" s="51" t="str">
        <v>1. https://accs.uaa.alaska.edu/wp-content/uploads/Symphytum_officinale_BIO_SYOF.pdf</v>
      </c>
    </row>
    <row r="47" spans="1:3" ht="45" x14ac:dyDescent="0.25">
      <c r="A47" s="30">
        <v>8.02</v>
      </c>
      <c r="B47" s="51" t="str">
        <v>1. "Seeds can remain viable in soil for several years"</v>
      </c>
      <c r="C47" s="51" t="str">
        <v>1. https://accs.uaa.alaska.edu/wp-content/uploads/Symphytum_officinale_BIO_SYOF.pdf</v>
      </c>
    </row>
    <row r="48" spans="1:3" x14ac:dyDescent="0.25">
      <c r="A48" s="30">
        <v>8.0299999999999994</v>
      </c>
      <c r="B48" s="51" t="str">
        <v>1. 2. Noted as being controlled by herbicides</v>
      </c>
      <c r="C48" s="51" t="str">
        <v>1. https://bcinvasives.ca/invasives/common-comfrey/ 2. https://hort.purdue.edu/newcrop/afcm/comfrey.html</v>
      </c>
    </row>
    <row r="49" spans="1:3" ht="60" x14ac:dyDescent="0.25">
      <c r="A49" s="30">
        <v>8.0399999999999991</v>
      </c>
      <c r="B49" s="51" t="str">
        <v>1. Will sprout from any root pieces left behind from removal. 2. Noted as being difficult to remove due to vegetative regeneration</v>
      </c>
      <c r="C49" s="51" t="str">
        <v>1. https://plants.ces.ncsu.edu/plants/symphytum-officinale/ 2. https://accs.uaa.alaska.edu/wp-content/uploads/Symphytum_officinale_BIO_SYOF.pdf</v>
      </c>
    </row>
    <row r="50" spans="1:3" x14ac:dyDescent="0.25">
      <c r="A50" s="30">
        <v>8.0500000000000007</v>
      </c>
      <c r="B50" s="50" t="str">
        <v>Unknown</v>
      </c>
      <c r="C50" s="51">
        <v>0</v>
      </c>
    </row>
  </sheetData>
  <sheetProtection algorithmName="SHA-512" hashValue="HwVsddSKA36z0HQovLp52AHeyUwXIB3BK9O2Nfeb1wc6CSMAX71mBA8zvBTYMnBwR7SnlERXptCmZRxSLLKyAA==" saltValue="5pGpLizWx2P+VsfdacsGS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21a967f-c9b6-4417-8b28-12bf5b07c60b">
      <Terms xmlns="http://schemas.microsoft.com/office/infopath/2007/PartnerControls"/>
    </lcf76f155ced4ddcb4097134ff3c332f>
    <TaxCatchAll xmlns="898990d9-3832-423e-b64c-5c8524f186a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D21906AFC853A408AD5005C49B5E75E" ma:contentTypeVersion="16" ma:contentTypeDescription="Create a new document." ma:contentTypeScope="" ma:versionID="b0bb80d225c275d8cbc214fe25479caa">
  <xsd:schema xmlns:xsd="http://www.w3.org/2001/XMLSchema" xmlns:xs="http://www.w3.org/2001/XMLSchema" xmlns:p="http://schemas.microsoft.com/office/2006/metadata/properties" xmlns:ns2="f21a967f-c9b6-4417-8b28-12bf5b07c60b" xmlns:ns3="898990d9-3832-423e-b64c-5c8524f186af" targetNamespace="http://schemas.microsoft.com/office/2006/metadata/properties" ma:root="true" ma:fieldsID="92aa9d5f0ffbc745df48d8777f40dc0d" ns2:_="" ns3:_="">
    <xsd:import namespace="f21a967f-c9b6-4417-8b28-12bf5b07c60b"/>
    <xsd:import namespace="898990d9-3832-423e-b64c-5c8524f186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a967f-c9b6-4417-8b28-12bf5b07c6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a0c477a-f09e-4137-8c49-77869fdcca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8990d9-3832-423e-b64c-5c8524f186a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10cedfe-beb2-4ef3-8cef-26ff56bb9e6e}" ma:internalName="TaxCatchAll" ma:showField="CatchAllData" ma:web="898990d9-3832-423e-b64c-5c8524f186a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2C3439-75BE-411A-8E6B-DF10E44BED25}">
  <ds:schemaRefs>
    <ds:schemaRef ds:uri="http://schemas.microsoft.com/sharepoint/v3/contenttype/forms"/>
  </ds:schemaRefs>
</ds:datastoreItem>
</file>

<file path=customXml/itemProps2.xml><?xml version="1.0" encoding="utf-8"?>
<ds:datastoreItem xmlns:ds="http://schemas.openxmlformats.org/officeDocument/2006/customXml" ds:itemID="{624714E1-6774-437D-801A-4B8EB940739E}">
  <ds:schemaRefs>
    <ds:schemaRef ds:uri="http://schemas.microsoft.com/office/2006/metadata/properties"/>
    <ds:schemaRef ds:uri="http://schemas.microsoft.com/office/infopath/2007/PartnerControls"/>
    <ds:schemaRef ds:uri="f21a967f-c9b6-4417-8b28-12bf5b07c60b"/>
    <ds:schemaRef ds:uri="898990d9-3832-423e-b64c-5c8524f186af"/>
  </ds:schemaRefs>
</ds:datastoreItem>
</file>

<file path=customXml/itemProps3.xml><?xml version="1.0" encoding="utf-8"?>
<ds:datastoreItem xmlns:ds="http://schemas.openxmlformats.org/officeDocument/2006/customXml" ds:itemID="{426919C1-6C3F-4EE8-A334-47EF59B57A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1a967f-c9b6-4417-8b28-12bf5b07c60b"/>
    <ds:schemaRef ds:uri="898990d9-3832-423e-b64c-5c8524f186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WRA Worksheet</vt:lpstr>
      <vt:lpstr>LUT</vt:lpstr>
      <vt:lpstr>PDF Template Scoresheet</vt:lpstr>
      <vt:lpstr>PDF Template Refs &amp;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Wanamaker,Christian E</dc:creator>
  <cp:keywords/>
  <dc:description/>
  <cp:lastModifiedBy>Seokmin Kim</cp:lastModifiedBy>
  <cp:revision/>
  <dcterms:created xsi:type="dcterms:W3CDTF">2021-06-15T16:34:22Z</dcterms:created>
  <dcterms:modified xsi:type="dcterms:W3CDTF">2024-07-26T15:55:27Z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0x010100BD21906AFC853A408AD5005C49B5E75E</vt:lpwstr>
  </property>
  <property fmtid="{D5CDD505-2E9C-101B-9397-08002B2CF9AE}" pid="3" name="MediaServiceImageTags">
    <vt:lpwstr/>
  </property>
</Properties>
</file>