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seokminkim/Desktop/Assessments/Species/Salpichroa origanifolia/"/>
    </mc:Choice>
  </mc:AlternateContent>
  <xr:revisionPtr revIDLastSave="0" documentId="13_ncr:1_{BD8C6054-07F1-9C4D-B249-A1F760762742}" xr6:coauthVersionLast="47" xr6:coauthVersionMax="47" xr10:uidLastSave="{00000000-0000-0000-0000-000000000000}"/>
  <bookViews>
    <workbookView xWindow="880" yWindow="740" windowWidth="27260" windowHeight="1726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C53" i="3" a="1"/>
  <c r="C53" i="3"/>
  <c r="D72" i="1"/>
  <c r="I26" i="2"/>
  <c r="C74" i="1"/>
  <c r="I27" i="2"/>
  <c r="D3" i="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30" i="1"/>
  <c r="D30" i="3" s="1"/>
  <c r="D31" i="1"/>
  <c r="D31" i="3" s="1"/>
  <c r="D32" i="1"/>
  <c r="D32" i="3" s="1"/>
  <c r="D33" i="1"/>
  <c r="D33" i="3" s="1"/>
  <c r="D34" i="1"/>
  <c r="D34" i="3" s="1"/>
  <c r="D35" i="1"/>
  <c r="D35" i="3" s="1"/>
  <c r="D36" i="1"/>
  <c r="D36" i="3" s="1"/>
  <c r="D37" i="1"/>
  <c r="D37" i="3" s="1"/>
  <c r="D38" i="1"/>
  <c r="D38" i="3" s="1"/>
  <c r="D39" i="1"/>
  <c r="D39" i="3" s="1"/>
  <c r="D40" i="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D40" i="3"/>
  <c r="D29"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D3" i="3"/>
  <c r="C3" i="3"/>
  <c r="D59" i="1" l="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<sst xmlns="http://schemas.openxmlformats.org/spreadsheetml/2006/main" count="339" uniqueCount="193">
  <si>
    <t>Species:</t>
  </si>
  <si>
    <t>Number</t>
  </si>
  <si>
    <t>Question</t>
  </si>
  <si>
    <t>Answer</t>
  </si>
  <si>
    <t>Score</t>
  </si>
  <si>
    <t>Uncertainty</t>
  </si>
  <si>
    <t>Evidence</t>
  </si>
  <si>
    <t>Reference</t>
  </si>
  <si>
    <t>Is the species highly domesticated?</t>
  </si>
  <si>
    <t>Has the species become naturalised where grown?</t>
  </si>
  <si>
    <t>Does the species have weedy races?</t>
  </si>
  <si>
    <t>Species suited to Florida's USDA climate zones (1-low; 2-intermediate; 3-high)
       North Zone: suited to Zones 8, 9
       Central Zone: suited to Zones 9, 10
       South Zone: suited to Zone 10</t>
  </si>
  <si>
    <t>Quality of climate match data (1-low; 2-intermediate; 3-high)</t>
  </si>
  <si>
    <t>Broad climate suitability (environmental versatility)</t>
  </si>
  <si>
    <t>Native or naturalized in habitats with periodic inundation
       North Zone: mean annual precipitation 50-70 inches
       Central Zone: mean annual precipitation 40-60 inches
       South Zone: mean annual precipitation 40-60 inches</t>
  </si>
  <si>
    <t>Does the species have a history of repeated introductions outside its natural range?</t>
  </si>
  <si>
    <t>Naturalized beyond native range</t>
  </si>
  <si>
    <t>Garden/amenity/disturbance weed</t>
  </si>
  <si>
    <t>Weed of agriculture</t>
  </si>
  <si>
    <t>Environmental weed</t>
  </si>
  <si>
    <t>Congeneric weed</t>
  </si>
  <si>
    <t>Produces spines, thorns or burrs</t>
  </si>
  <si>
    <t>Allelopathic</t>
  </si>
  <si>
    <t>Parasitic</t>
  </si>
  <si>
    <t>Unpalatable to grazing animals</t>
  </si>
  <si>
    <t>Toxic to animals</t>
  </si>
  <si>
    <t>Host for recognised pests and pathogens</t>
  </si>
  <si>
    <t>Causes allergies or is otherwise toxic to humans</t>
  </si>
  <si>
    <t>Creates a fire hazard in natural ecosystems</t>
  </si>
  <si>
    <t>Is a shade tolerant plant at some stage of its life cycle</t>
  </si>
  <si>
    <t>Grows on infertile soils (oligotrophic, limerock, or excessively draining soils).  North &amp; Central Zones: infertile soils; South Zone: shallow limerock or Histisols.</t>
  </si>
  <si>
    <t>Climbing or smothering growth habit</t>
  </si>
  <si>
    <t>Forms dense thickets</t>
  </si>
  <si>
    <t>Aquatic</t>
  </si>
  <si>
    <t>Grass</t>
  </si>
  <si>
    <t>Nitrogen fixing woody plant</t>
  </si>
  <si>
    <t>Geophyte</t>
  </si>
  <si>
    <t>Evidence of substantial reproductive failure in native habitat</t>
  </si>
  <si>
    <t>Produces viable seed</t>
  </si>
  <si>
    <t>Hybridizes naturally</t>
  </si>
  <si>
    <t>Self-compatible or apomictic</t>
  </si>
  <si>
    <t>Requires specialist pollinators</t>
  </si>
  <si>
    <t>Reproduction by vegetative propagation</t>
  </si>
  <si>
    <t>Minimum generative time (years)</t>
  </si>
  <si>
    <t>Propagules likely to be dispersed unintentionally (plants growing in heavily trafficked areas)</t>
  </si>
  <si>
    <t>Propagules dispersed intentionally by people</t>
  </si>
  <si>
    <t>Propagules likely to disperse as a produce contaminant</t>
  </si>
  <si>
    <t>Propagules adapted to wind dispersal</t>
  </si>
  <si>
    <t>Propagules water dispersed</t>
  </si>
  <si>
    <t>Propagules bird dispersed</t>
  </si>
  <si>
    <t>Propagules dispersed by other animals (externally)</t>
  </si>
  <si>
    <t>Propagules dispersed by other animals (internally)</t>
  </si>
  <si>
    <t>Prolific seed production</t>
  </si>
  <si>
    <t>Evidence that a persistent propagule bank is formed (&gt;1 yr)</t>
  </si>
  <si>
    <t>Well controlled by herbicides</t>
  </si>
  <si>
    <t>Tolerates, or benefits from, mutilation or cultivation</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</si>
  <si>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</si>
  <si>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</si>
  <si>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</si>
  <si>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</si>
  <si>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</si>
  <si>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</si>
  <si>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</si>
  <si>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</si>
  <si>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</si>
  <si>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</si>
  <si>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</si>
  <si>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</si>
  <si>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</si>
  <si>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</si>
  <si>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</si>
  <si>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</si>
  <si>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</si>
  <si>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</si>
  <si>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</si>
  <si>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</si>
  <si>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</si>
  <si>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</si>
  <si>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</si>
  <si>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</si>
  <si>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</si>
  <si>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</si>
  <si>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</si>
  <si>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</si>
  <si>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</si>
  <si>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</si>
  <si>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</si>
  <si>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</si>
  <si>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</si>
  <si>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</si>
  <si>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</si>
  <si>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</si>
  <si>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</si>
  <si>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</si>
  <si>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</si>
  <si>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</si>
  <si>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</si>
  <si>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</si>
  <si>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</si>
  <si>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</si>
  <si>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</si>
  <si>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</si>
  <si>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</si>
  <si>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</si>
  <si>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</si>
  <si>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</si>
  <si>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</si>
  <si>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</si>
  <si>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</si>
  <si>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</si>
  <si>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</si>
  <si>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</si>
  <si>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</si>
  <si>
    <t>Salpichroa origanifolia. - (lily of the valley vine, pampas lily-of-the-valley, cock's eggs)</t>
  </si>
  <si>
    <r>
      <rPr>
        <sz val="11"/>
        <color rgb="FF000000"/>
        <rFont val="Calibri"/>
        <family val="2"/>
      </rPr>
      <t>Assessment date:</t>
    </r>
    <r>
      <rPr>
        <sz val="11"/>
        <color rgb="FFFF0000"/>
        <rFont val="Calibri"/>
        <family val="2"/>
      </rPr>
      <t xml:space="preserve"> 06/07/2024</t>
    </r>
    <r>
      <rPr>
        <sz val="11"/>
        <color rgb="FF000000"/>
        <rFont val="Calibri"/>
        <family val="2"/>
      </rPr>
      <t xml:space="preserve"> Prepared by Seokmin Kim</t>
    </r>
  </si>
  <si>
    <t>n</t>
  </si>
  <si>
    <t>1. https://blogs.cdfa.ca.gov/Section3162/?p=3530#:~:text=Salpichroa%20origanifolia%20was%20introduced%20in,permanent%20rating%20for%20this%20pest.</t>
  </si>
  <si>
    <t>y</t>
  </si>
  <si>
    <t>Initiation: Requested by Kathy Russell of Fernandina Beach FL Parks Dept, reported dense monoculture</t>
  </si>
  <si>
    <t>No evidence of other Salpichroa species being weedy</t>
  </si>
  <si>
    <t>No evidence of the species having spines, thorns, or burrs</t>
  </si>
  <si>
    <t>Not found to have any allelopathic effect on other plants</t>
  </si>
  <si>
    <t>1,. Arduini and Allesandrini 2024</t>
  </si>
  <si>
    <t>No evidence of the species being parasitic</t>
  </si>
  <si>
    <t>Many parts of the plant are considered toxic, containing alkaloids.</t>
  </si>
  <si>
    <t>1. Mongelli et al. 2000.    2. https://nre.tas.gov.au/invasive-species/weeds/weeds-index/declared-weeds-index/pampas-lily-of-the-valley</t>
  </si>
  <si>
    <t>No evidence of the species being host to pests and pathogens</t>
  </si>
  <si>
    <t>No evidence of the species supporting fire or its establishment</t>
  </si>
  <si>
    <t>1. https://www.cal-ipc.org/plants/risk/salpichroa-origanifolia-risk/</t>
  </si>
  <si>
    <t>1. https://www.picturethisai.com/faq-soil/Salpichroa-origanifolia.html</t>
  </si>
  <si>
    <t>1. https://blogs.cdfa.ca.gov/Section3162/?p=3530#:~:text=Salpichroa%20origanifolia%20was%20introduced%20in,permanent%20rating%20for%20this%20pest.    2. https://nre.tas.gov.au/invasive-species/weeds/weeds-index/declared-weeds-index/pampas-lily-of-the-valley'</t>
  </si>
  <si>
    <t>Plant is a vine (family Solanaceae) and known to smother other plants.</t>
  </si>
  <si>
    <t>While it is known to create dense growths, no evidence that it creates thickets.</t>
  </si>
  <si>
    <t>Species is not aquatic</t>
  </si>
  <si>
    <t>No evidence of substantial reproductive failure</t>
  </si>
  <si>
    <t>No evidence of species hybridizing naturally</t>
  </si>
  <si>
    <t>1. https://keyserver.lucidcentral.org/weeds/data/media/Html/salpichroa_origanifolia.htm#:~:text=This%20species%20reproduces%20by%20seeds,and%20in%20dumped%20garden%20waste.</t>
  </si>
  <si>
    <t>No evidence that species requires specialist pollinators. Known to be pollinated readiily by bees.</t>
  </si>
  <si>
    <t>1. Bendifallah and Ortiz-Sanchez 2018</t>
  </si>
  <si>
    <t>1 or fewer</t>
  </si>
  <si>
    <t>Plant reaches sexual maturity in about 1 year</t>
  </si>
  <si>
    <t>1. https://invasoras.pt/en/invasive-plant/salpichroa-origanifolia-0</t>
  </si>
  <si>
    <t>Propagules commonly dispersed unintentionally</t>
  </si>
  <si>
    <t>1. https://www.cal-ipc.org/plants/risk/salpichroa-origanifolia-risk/.   2. Arduini and Alesssandrini 2024</t>
  </si>
  <si>
    <t>No evidence that this species is dispersed intentionally other than for ornamental reasons</t>
  </si>
  <si>
    <t>Seeds are not adapted to wind dispersal</t>
  </si>
  <si>
    <t>Seeds are not adapted to water dispersal</t>
  </si>
  <si>
    <t>Seeds are known to be dispersed by birds</t>
  </si>
  <si>
    <t>1. https://weeds.dpi.nsw.gov.au/Weeds/PampasLilyOfTheValley</t>
  </si>
  <si>
    <t xml:space="preserve">Species is known to alter native seed banks, but little mention of how persistent the seeds are. Some mention of seeds being able to persist for a few months, but not more than a year </t>
  </si>
  <si>
    <t>1. Arduini and Alessandrini 2024.   2. https://www.cal-ipc.org/plants/risk/salpichroa-origanifolia-risk/</t>
  </si>
  <si>
    <t>Herbicide is recommended for control, but also noted as difficult to eradiacte completely without physically removing root structures.</t>
  </si>
  <si>
    <t>1. https://www.herbiguide.com.au/Descriptions/hg_Pampas_LilyoftheValley.htm.  2. https://www.nrc.govt.nz/environment/weed-and-pest-control/pest-control-hub/?pwsystem=true&amp;pwid=66#:~:text=Herbicide%20control,from%20roots%20and%20by%20seed.</t>
  </si>
  <si>
    <t>No evidence that species benefits from mutilation</t>
  </si>
  <si>
    <t>No evidence of effective natural enemies present in the USA</t>
  </si>
  <si>
    <t>1.https://blogs.cdfa.ca.gov/Section3162/?p=3530#:~:text=Salpichroa%20origanifolia%20was%20introduced%20in,permanent%20rating%20for%20this%20pest.   2. Espiroto-Santo et al. 2006</t>
  </si>
  <si>
    <t>1.https://blogs.cdfa.ca.gov/Section3162/?p=3530#:~:text=Salpichroa%20origanifolia%20was%20introduced%20in,permanent%20rating%20for%20this%20pest.   2. Weber 2003</t>
  </si>
  <si>
    <t>1. Arduini and Alessandrini 2024.   2. Viegl and Cocchi 2023: DOI:10.13140/RG.2.2.24144.07680.    3. Espiroto-Santo et al. 2006</t>
  </si>
  <si>
    <t>Species has no recorded impact on agriculture.</t>
  </si>
  <si>
    <t>1.https://blogs.cdfa.ca.gov/Section3162/?p=3530#:~:text=Salpichroa%20origanifolia%20was%20introduced%20in,permanent%20rating%20for%20this%20pest  2. https://weeds.org.au/profiles/pampas-lily-of/#prosection3</t>
  </si>
  <si>
    <t>1. 2. Noted to be a weed of disturbed habitats, at roadsides, and along fences. 3. Identified as a weed in and near botanical gardens.</t>
  </si>
  <si>
    <t>1. Naturalized in Europe, Africa, New Zealand, and Australia. 2. Considered invaisve in Australia.</t>
  </si>
  <si>
    <t>1. Naturalized in Europe, Africa, New Zealand, and Australia. 2. Commonly introduced to an area as ornamental plants. Becomes naturalized in the absence of control measures.</t>
  </si>
  <si>
    <t xml:space="preserve">1. 2. Considered as a priority environmental weed is parts of Australia. 3. Known to impeded growth and regeneration of native shrubs and trees. </t>
  </si>
  <si>
    <t>1. https://keyserver.lucidcentral.org/weeds/data/media/Html/salpichroa_origanifolia.htm#:~:text=Pampas%20lily%2Dof%2Dthe%2Dvalley%20(Salpichroa%20origanifolia),one%20Natural%20Resource%20Management%20region.  2. https://www.cal-ipc.org/wp-content/uploads/2017/10/Salpichroa-origanifolia-California-_-PRE.html 3. Weber 2003</t>
  </si>
  <si>
    <t xml:space="preserve">No evidence that plant is unpalatable or palatable to grazing animals. </t>
  </si>
  <si>
    <t>1. Mongelli et al. 2000.    2. https://nre.tas.gov.au/invasive-species/weeds/weeds-index/declared-weeds-index/pampas-lily-of-the-valley 3. https://www.cal-ipc.org/wp-content/uploads/2017/10/Salpichroa-origanifolia-California-_-PRE.html</t>
  </si>
  <si>
    <t xml:space="preserve">1. 2. Many parts of the plant are considered toxic. 3. However, no animal losses have been reported yet due to plant consumption. </t>
  </si>
  <si>
    <t>1. Known to be shade tolerant and can grow and adapt well in canopy shade conditions (90% sunlight reduction). 2. While partial sun is considered ideal, can tolerate full shade conditions.</t>
  </si>
  <si>
    <t>1. Arduini and Alessandrini 2024.  2. https://www.picturethisai.com/care/sunlight/Salpichroa_origanifolia.html</t>
  </si>
  <si>
    <t>1. Prefers loamy soil, but can be grown in soils with poor drainage or alkalinity. Not much information present regarding its ability to grow on infertile soils, however.</t>
  </si>
  <si>
    <t>Species is a vine (family Solanaceae) , not a grass</t>
  </si>
  <si>
    <t>Does not possess any nitrogen-fixing symbionts</t>
  </si>
  <si>
    <t>1. https://floraveg.eu/taxon/overview/Salpichroa%20origanifolia</t>
  </si>
  <si>
    <t>1. While it can reproduce vegetatively from creeping underground stems/rhizome, does not possess structures necessary to be a true geophyte</t>
  </si>
  <si>
    <t>1. Produces viable seeds from berries. 2. Plant known to spread through seeds.</t>
  </si>
  <si>
    <t>1.https://blogs.cdfa.ca.gov/Section3162/?p=3530#:~:text=Salpichroa%20origanifolia%20was%20introduced%20in,permanent%20rating%20for%20this%20pest. 2. Weber 2003</t>
  </si>
  <si>
    <t xml:space="preserve">Species is usually hermaphroditic but no evidence that it is self-compatible. </t>
  </si>
  <si>
    <t>1. https://nwwildflowers.com/compare/?t=Salpichroa+origanifolia,+Solanaceae</t>
  </si>
  <si>
    <t>1. Known to reproduce vegetatively. 2. Can spread through root fragments and pieces of underground stems.</t>
  </si>
  <si>
    <t>1. https://keyserver.lucidcentral.org/weeds/data/media/Html/salpichroa_origanifolia.htm#:~:text=This%20species%20reproduces%20by%20seeds,and%20in%20dumped%20garden%20waste.    2. https://www.cal-ipc.org/plants/profile/salpichroa-origanifolia-profile/</t>
  </si>
  <si>
    <t>1. https://www.cal-ipc.org/plants/risk/cytisus-proliferus-risk/. 2. https://www.cal-ipc.org/wp-content/uploads/2017/10/Salpichroa-origanifolia-California-_-PRE.html</t>
  </si>
  <si>
    <t xml:space="preserve">1. Known to be spread through contaminated soil. 2. Plant seeds dispersed via contaminated seeds and garden waste. </t>
  </si>
  <si>
    <t xml:space="preserve">1. Seeds are surrounded by a sticky substance, so could stick to animals. </t>
  </si>
  <si>
    <t xml:space="preserve">1. https://keyserver.lucidcentral.org/weeds/data/media/Html/salpichroa_origanifolia.htm </t>
  </si>
  <si>
    <t>1. https://weeds.dpi.nsw.gov.au/Weeds/PampasLilyOfTheValley.  2. https://keyserver.lucidcentral.org/weeds/data/media/Html/salpichroa_origanifolia.htm</t>
  </si>
  <si>
    <t>1. Seeds can be eaten by other frugivorous animals. (Plant produces fruits). 2. Fruits known to be consumed by birds, rats, and mice. Not much work done on studying germination potential of seeds post ingestion, however.</t>
  </si>
  <si>
    <t>1. https://www.cal-ipc.org/plants/risk/salpichroa-origanifolia-risk/ 2. https://www.mdpi.com/2223-7747/13/2/226#:~:text=Flowers%20are%20white%2C%20solitary%2C%20bell,dispersed%20by%20birds%20%5B59%5D.</t>
  </si>
  <si>
    <t>1. 2. Species can produce up to 100 berries per plant with up to 20 seeds. (~2000 seeds per individual) Is below the &gt;5000 for herbaceous taxa.</t>
  </si>
  <si>
    <t>Native to temperate regions of South America. Introduced to parts of the continental USA (California) in early 1930's. No evidence that it has been subjected to extensive human selection.</t>
  </si>
  <si>
    <t>See attached climate suitability map.</t>
  </si>
  <si>
    <t>Climate suitability modelling shows that species is well suited (with negligible uncertainty) for plant hardiness zones 8b to 12b and 11 Koppen Geiger Climate classes</t>
  </si>
  <si>
    <t>See attached climate suitability map. Suitability modeling shows that species is well suited (with negligible uncertainty) for annual precipitation up to 80 inches.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</si>
</sst>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1"/>
      <color rgb="FF000000"/>
      <name val="Calibri"/>
      <family val="2"/>
    </font>
    <font>
      <sz val="10"/>
      <color theme="1"/>
      <name val="Calibri"/>
      <family val="2"/>
    </font>
    <font>
      <sz val="11"/>
      <color rgb="FFFF0000"/>
      <name val="Calibri"/>
      <family val="2"/>
    </font>
    <font>
      <sz val="11"/>
      <color theme="1"/>
      <name val="Calibri"/>
      <family val="2"/>
    </font>
    <font>
      <b/>
      <sz val="11"/>
      <color rgb="FFFF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5">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6" fillId="6" borderId="0" xfId="0" applyFont="1" applyFill="1" applyProtection="1">
      <protection locked="0"/>
    </xf>
    <xf numFmtId="0" fontId="26" fillId="6" borderId="0" xfId="0" applyFont="1" applyFill="1" applyAlignment="1" applyProtection="1">
      <alignment wrapText="1"/>
      <protection locked="0"/>
    </xf>
    <xf numFmtId="0" fontId="28" fillId="0" borderId="0" xfId="0" applyFont="1" applyAlignment="1" applyProtection="1">
      <alignment wrapText="1"/>
      <protection locked="0"/>
    </xf>
    <xf numFmtId="0" fontId="29" fillId="0" borderId="0" xfId="0" applyFont="1" applyAlignment="1" applyProtection="1">
      <alignment horizontal="center" vertical="top"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xf numFmtId="0" fontId="0" fillId="0" borderId="0" xfId="0"/>
    <xf numFmtId="0" fontId="0" fillId="0" borderId="15" xfId="0" applyBorder="1"/>
    <xf numFmtId="0" fontId="0" fillId="0" borderId="14" xfId="0" applyBorder="1" applyAlignment="1">
      <alignment horizontal="left" vertical="top"/>
    </xf>
    <xf numFmtId="0" fontId="0" fillId="0" borderId="0" xfId="0" applyAlignment="1">
      <alignment horizontal="left" vertical="top"/>
    </xf>
    <xf numFmtId="0" fontId="0" fillId="0" borderId="14" xfId="0" applyBorder="1" applyAlignment="1">
      <alignmen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xf numFmtId="0" fontId="0" fillId="0" borderId="16" xfId="0" applyBorder="1"/>
    <xf numFmtId="0" fontId="0" fillId="0" borderId="20" xfId="0" applyBorder="1"/>
    <xf numFmtId="0" fontId="0" fillId="0" borderId="21" xfId="0" applyBorder="1"/>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topLeftCell="A48" zoomScale="125" zoomScaleNormal="125" workbookViewId="0">
      <pane xSplit="1" topLeftCell="B1" activePane="topRight" state="frozen"/>
      <selection pane="topRight" activeCell="F49" sqref="F49"/>
    </sheetView>
  </sheetViews>
  <sheetFormatPr baseColWidth="10" defaultColWidth="9.1640625" defaultRowHeight="15" x14ac:dyDescent="0.2"/>
  <cols>
    <col min="1" max="1" width="9" style="58" customWidth="1"/>
    <col min="2" max="2" width="45.5" style="58" customWidth="1"/>
    <col min="3" max="3" width="12.5" style="58" customWidth="1"/>
    <col min="4" max="4" width="9.5" style="58" bestFit="1" customWidth="1"/>
    <col min="5" max="5" width="12.33203125" style="65" hidden="1" customWidth="1"/>
    <col min="6" max="6" width="61.5" style="58" customWidth="1"/>
    <col min="7" max="7" width="43.33203125" style="58" customWidth="1"/>
    <col min="8" max="8" width="27.1640625" style="85" customWidth="1"/>
    <col min="9" max="16384" width="9.1640625" style="58"/>
  </cols>
  <sheetData>
    <row r="1" spans="1:8" ht="30" customHeight="1" x14ac:dyDescent="0.2">
      <c r="A1" s="27" t="s">
        <v>0</v>
      </c>
      <c r="B1" s="85" t="s">
        <v>113</v>
      </c>
      <c r="C1" s="56"/>
      <c r="D1" s="56"/>
      <c r="E1" s="57"/>
      <c r="F1" s="102" t="s">
        <v>114</v>
      </c>
      <c r="G1" s="56" t="s">
        <v>118</v>
      </c>
    </row>
    <row r="2" spans="1:8" s="17" customFormat="1" ht="30.75" customHeight="1" x14ac:dyDescent="0.2">
      <c r="A2" s="18" t="s">
        <v>1</v>
      </c>
      <c r="B2" s="18" t="s">
        <v>2</v>
      </c>
      <c r="C2" s="18" t="s">
        <v>3</v>
      </c>
      <c r="D2" s="18" t="s">
        <v>4</v>
      </c>
      <c r="E2" s="88" t="s">
        <v>5</v>
      </c>
      <c r="F2" s="18" t="s">
        <v>6</v>
      </c>
      <c r="G2" s="18" t="s">
        <v>7</v>
      </c>
      <c r="H2" s="103"/>
    </row>
    <row r="3" spans="1:8" ht="64" x14ac:dyDescent="0.2">
      <c r="A3" s="66">
        <v>1.01</v>
      </c>
      <c r="B3" s="67" t="s">
        <v>8</v>
      </c>
      <c r="C3" s="56" t="s">
        <v>115</v>
      </c>
      <c r="D3" s="59">
        <f>IF(C3="Y",-3,IF(C3="N",0," "))</f>
        <v>0</v>
      </c>
      <c r="E3" s="57"/>
      <c r="F3" s="99" t="s">
        <v>189</v>
      </c>
      <c r="G3" s="64" t="s">
        <v>116</v>
      </c>
    </row>
    <row r="4" spans="1:8" ht="16" x14ac:dyDescent="0.2">
      <c r="A4" s="66">
        <v>1.02</v>
      </c>
      <c r="B4" s="67" t="s">
        <v>9</v>
      </c>
      <c r="C4" s="56"/>
      <c r="D4" s="59" t="str">
        <f>IF(C4="n",VLOOKUP(LUT!C5,LUT!C4:E52,2),IF(C4="y",VLOOKUP(LUT!C5,LUT!C4:E52,3)," "))</f>
        <v xml:space="preserve"> </v>
      </c>
      <c r="E4" s="57"/>
      <c r="F4" s="64"/>
      <c r="G4" s="64"/>
    </row>
    <row r="5" spans="1:8" ht="16" x14ac:dyDescent="0.2">
      <c r="A5" s="66">
        <v>1.03</v>
      </c>
      <c r="B5" s="67" t="s">
        <v>10</v>
      </c>
      <c r="C5" s="56"/>
      <c r="D5" s="59" t="str">
        <f>IF(C5="Y",1,IF(C5="N",-1," "))</f>
        <v xml:space="preserve"> </v>
      </c>
      <c r="E5" s="57"/>
      <c r="F5" s="64"/>
      <c r="G5" s="64"/>
    </row>
    <row r="6" spans="1:8" ht="80" x14ac:dyDescent="0.2">
      <c r="A6" s="66">
        <v>2.0099999999999998</v>
      </c>
      <c r="B6" s="67" t="s">
        <v>11</v>
      </c>
      <c r="C6" s="56">
        <v>3</v>
      </c>
      <c r="D6" s="60"/>
      <c r="E6" s="57"/>
      <c r="F6" s="99" t="s">
        <v>190</v>
      </c>
      <c r="G6" s="64"/>
    </row>
    <row r="7" spans="1:8" ht="32" x14ac:dyDescent="0.2">
      <c r="A7" s="66">
        <v>2.02</v>
      </c>
      <c r="B7" s="67" t="s">
        <v>12</v>
      </c>
      <c r="C7" s="56">
        <v>3</v>
      </c>
      <c r="D7" s="60"/>
      <c r="E7" s="57"/>
      <c r="F7" s="64" t="s">
        <v>190</v>
      </c>
      <c r="G7" s="64"/>
    </row>
    <row r="8" spans="1:8" ht="48" x14ac:dyDescent="0.2">
      <c r="A8" s="66">
        <v>2.0299999999999998</v>
      </c>
      <c r="B8" s="67" t="s">
        <v>13</v>
      </c>
      <c r="C8" s="56" t="s">
        <v>117</v>
      </c>
      <c r="D8" s="59">
        <f>IF(C8="y",1,IF(C8="n",0," "))</f>
        <v>1</v>
      </c>
      <c r="E8" s="57"/>
      <c r="F8" s="64" t="s">
        <v>191</v>
      </c>
      <c r="G8" s="99"/>
    </row>
    <row r="9" spans="1:8" ht="64" x14ac:dyDescent="0.2">
      <c r="A9" s="66">
        <v>2.04</v>
      </c>
      <c r="B9" s="67" t="s">
        <v>14</v>
      </c>
      <c r="C9" s="56" t="s">
        <v>117</v>
      </c>
      <c r="D9" s="59">
        <f>IF(C9="y",1,IF(C9="n",0," "))</f>
        <v>1</v>
      </c>
      <c r="E9" s="57"/>
      <c r="F9" s="99" t="s">
        <v>192</v>
      </c>
      <c r="G9" s="99"/>
    </row>
    <row r="10" spans="1:8" ht="64" x14ac:dyDescent="0.2">
      <c r="A10" s="66">
        <v>2.0499999999999998</v>
      </c>
      <c r="B10" s="67" t="s">
        <v>15</v>
      </c>
      <c r="C10" s="56" t="s">
        <v>117</v>
      </c>
      <c r="D10" s="60"/>
      <c r="E10" s="57"/>
      <c r="F10" s="99" t="s">
        <v>162</v>
      </c>
      <c r="G10" s="64" t="s">
        <v>155</v>
      </c>
    </row>
    <row r="11" spans="1:8" ht="64" x14ac:dyDescent="0.2">
      <c r="A11" s="66">
        <v>3.01</v>
      </c>
      <c r="B11" s="67" t="s">
        <v>16</v>
      </c>
      <c r="C11" s="56" t="s">
        <v>117</v>
      </c>
      <c r="D11" s="59">
        <f>IF(C11="n",LOOKUP($C$10,LUT!$I$13:$L$13,LUT!$I$14:$L$14),IF(AND(C11="y",AND($C$6=1,$C$7=1)),2,IF(AND(C11="y",AND($C$6=1,$C$7=2)),1,IF(AND(C11="y",AND($C$6=1,$C$7=3)),1,IF(AND(C11="y",AND($C$6=2,$C$7=1)),2,IF(AND(C11="y",AND($C$6=2,$C$7=2)),2,IF(AND(C11="y",AND($C$6=2,$C$7=3)),1,IF(AND(C11="y",AND($C$6=3,$C$7=1)),2,IF(AND(C11="y",AND($C$6=3,$C$7=2)),2,IF(AND(C11="y",AND($C$6=3,$C$7=3)),2,""))))))))))</f>
        <v>2</v>
      </c>
      <c r="E11" s="57"/>
      <c r="F11" s="99" t="s">
        <v>161</v>
      </c>
      <c r="G11" s="64" t="s">
        <v>156</v>
      </c>
    </row>
    <row r="12" spans="1:8" ht="48" x14ac:dyDescent="0.2">
      <c r="A12" s="66">
        <v>3.02</v>
      </c>
      <c r="B12" s="67" t="s">
        <v>17</v>
      </c>
      <c r="C12" s="56" t="s">
        <v>117</v>
      </c>
      <c r="D12" s="59">
        <f>IF(C12="n",LOOKUP($C$10,LUT!$I$13:$L$13,LUT!$I$15:$L$15),IF(AND(C12="y",AND($C$6=1,$C$7=1)),2,IF(AND(C12="y",AND($C$6=1,$C$7=2)),1,IF(AND(C12="y",AND($C$6=1,$C$7=3)),1,IF(AND(C12="y",AND($C$6=2,$C$7=1)),2,IF(AND(C12="y",AND($C$6=2,$C$7=2)),2,IF(AND(C12="y",AND($C$6=2,$C$7=3)),1,IF(AND(C12="y",AND($C$6=3,$C$7=1)),2,IF(AND(C12="y",AND($C$6=3,$C$7=2)),2,IF(AND(C12="y",AND($C$6=3,$C$7=3)),2,""))))))))))</f>
        <v>2</v>
      </c>
      <c r="E12" s="57"/>
      <c r="F12" s="101" t="s">
        <v>160</v>
      </c>
      <c r="G12" s="56" t="s">
        <v>157</v>
      </c>
    </row>
    <row r="13" spans="1:8" ht="80" x14ac:dyDescent="0.2">
      <c r="A13" s="66">
        <v>3.03</v>
      </c>
      <c r="B13" s="67" t="s">
        <v>18</v>
      </c>
      <c r="C13" s="56" t="s">
        <v>115</v>
      </c>
      <c r="D13" s="59">
        <f>IF(C13="n",LOOKUP($C$10,LUT!$I$13:$L$13,LUT!$I$15:$L$15),IF(AND(C13="y",AND($C$6=1,$C$7=1)),4,IF(AND(C13="y",AND($C$6=1,$C$7=2)),2,IF(AND(C13="y",AND($C$6=1,$C$7=3)),1,IF(AND(C13="y",AND($C$6=2,$C$7=1)),4,IF(AND(C13="y",AND($C$6=2,$C$7=2)),3,IF(AND(C13="y",AND($C$6=2,$C$7=3)),2,IF(AND(C13="y",AND($C$6=3,$C$7=1)),4,IF(AND(C13="y",AND($C$6=3,$C$7=2)),4,IF(AND(C13="y",AND($C$6=3,$C$7=3)),4,""))))))))))</f>
        <v>0</v>
      </c>
      <c r="E13" s="57"/>
      <c r="F13" s="100" t="s">
        <v>158</v>
      </c>
      <c r="G13" s="64" t="s">
        <v>159</v>
      </c>
    </row>
    <row r="14" spans="1:8" ht="128" x14ac:dyDescent="0.2">
      <c r="A14" s="66">
        <v>3.04</v>
      </c>
      <c r="B14" s="67" t="s">
        <v>19</v>
      </c>
      <c r="C14" s="56" t="s">
        <v>117</v>
      </c>
      <c r="D14" s="59">
        <f>IF(C14="n",LOOKUP($C$10,LUT!$I$13:$L$13,LUT!$I$15:$L$15),IF(AND(C14="y",AND($C$6=1,$C$7=1)),4,IF(AND(C14="y",AND($C$6=1,$C$7=2)),2,IF(AND(C14="y",AND($C$6=1,$C$7=3)),1,IF(AND(C14="y",AND($C$6=2,$C$7=1)),4,IF(AND(C14="y",AND($C$6=2,$C$7=2)),3,IF(AND(C14="y",AND($C$6=2,$C$7=3)),2,IF(AND(C14="y",AND($C$6=3,$C$7=1)),4,IF(AND(C14="y",AND($C$6=3,$C$7=2)),4,IF(AND(C14="y",AND($C$6=3,$C$7=3)),4,""))))))))))</f>
        <v>4</v>
      </c>
      <c r="E14" s="57"/>
      <c r="F14" s="64" t="s">
        <v>163</v>
      </c>
      <c r="G14" s="64" t="s">
        <v>164</v>
      </c>
    </row>
    <row r="15" spans="1:8" ht="16" x14ac:dyDescent="0.2">
      <c r="A15" s="66">
        <v>3.05</v>
      </c>
      <c r="B15" s="67" t="s">
        <v>20</v>
      </c>
      <c r="C15" s="56" t="s">
        <v>115</v>
      </c>
      <c r="D15" s="59">
        <f>IF(C15="n",LOOKUP($C$10,LUT!$I$13:$L$13,LUT!$I$15:$L$15),IF(AND(C15="y",AND($C$6=1,$C$7=1)),2,IF(AND(C15="y",AND($C$6=1,$C$7=2)),1,IF(AND(C15="y",AND($C$6=1,$C$7=3)),1,IF(AND(C15="y",AND($C$6=2,$C$7=1)),2,IF(AND(C15="y",AND($C$6=2,$C$7=2)),2,IF(AND(C15="y",AND($C$6=2,$C$7=3)),1,IF(AND(C15="y",AND($C$6=3,$C$7=1)),2,IF(AND(C15="y",AND($C$6=3,$C$7=2)),2,IF(AND(C15="y",AND($C$6=3,$C$7=3)),2,""))))))))))</f>
        <v>0</v>
      </c>
      <c r="E15" s="57"/>
      <c r="F15" s="64" t="s">
        <v>119</v>
      </c>
      <c r="G15" s="64"/>
    </row>
    <row r="16" spans="1:8" ht="16" x14ac:dyDescent="0.2">
      <c r="A16" s="66">
        <v>4.01</v>
      </c>
      <c r="B16" s="67" t="s">
        <v>21</v>
      </c>
      <c r="C16" s="56" t="s">
        <v>115</v>
      </c>
      <c r="D16" s="59">
        <f>IF(C16="y",VLOOKUP(LUT!C17,LUT!$C$4:$E$52,3),IF(C16="n",VLOOKUP(LUT!C17,LUT!$C$4:$E$52,2)," "))</f>
        <v>0</v>
      </c>
      <c r="E16" s="57"/>
      <c r="F16" s="64" t="s">
        <v>120</v>
      </c>
      <c r="G16" s="64"/>
    </row>
    <row r="17" spans="1:7" ht="16" x14ac:dyDescent="0.2">
      <c r="A17" s="66">
        <v>4.0199999999999996</v>
      </c>
      <c r="B17" s="67" t="s">
        <v>22</v>
      </c>
      <c r="C17" s="56" t="s">
        <v>115</v>
      </c>
      <c r="D17" s="59">
        <f>IF(C17="y",VLOOKUP(LUT!C18,LUT!C4:E52,3),IF(C17="n",VLOOKUP(LUT!C18,LUT!C4:E52,2)," "))</f>
        <v>0</v>
      </c>
      <c r="E17" s="57"/>
      <c r="F17" s="64" t="s">
        <v>121</v>
      </c>
      <c r="G17" s="64" t="s">
        <v>122</v>
      </c>
    </row>
    <row r="18" spans="1:7" ht="16" x14ac:dyDescent="0.2">
      <c r="A18" s="66">
        <v>4.03</v>
      </c>
      <c r="B18" s="67" t="s">
        <v>23</v>
      </c>
      <c r="C18" s="56" t="s">
        <v>115</v>
      </c>
      <c r="D18" s="59">
        <f>IF(C18="y",VLOOKUP(LUT!C19,LUT!$C$4:$E$52,3),IF(C18="n",VLOOKUP(LUT!C19,LUT!$C$4:$E$52,2)," "))</f>
        <v>0</v>
      </c>
      <c r="E18" s="57"/>
      <c r="F18" s="64" t="s">
        <v>123</v>
      </c>
      <c r="G18" s="64"/>
    </row>
    <row r="19" spans="1:7" ht="16" x14ac:dyDescent="0.2">
      <c r="A19" s="66">
        <v>4.04</v>
      </c>
      <c r="B19" s="67" t="s">
        <v>24</v>
      </c>
      <c r="C19" s="56" t="s">
        <v>93</v>
      </c>
      <c r="D19" s="59" t="str">
        <f>IF(C19="y",VLOOKUP(LUT!C20,LUT!$C$4:$E$52,3),IF(C19="n",VLOOKUP(LUT!C20,LUT!$C$4:$E$52,2)," "))</f>
        <v xml:space="preserve"> </v>
      </c>
      <c r="E19" s="57"/>
      <c r="F19" s="64" t="s">
        <v>165</v>
      </c>
      <c r="G19" s="64"/>
    </row>
    <row r="20" spans="1:7" ht="96" x14ac:dyDescent="0.2">
      <c r="A20" s="66">
        <v>4.05</v>
      </c>
      <c r="B20" s="67" t="s">
        <v>25</v>
      </c>
      <c r="C20" s="56" t="s">
        <v>117</v>
      </c>
      <c r="D20" s="59">
        <f>IF(C20="y",VLOOKUP(LUT!C21,LUT!$C$4:$E$52,3),IF(C20="n",VLOOKUP(LUT!C21,LUT!$C$4:$E$52,2)," "))</f>
        <v>1</v>
      </c>
      <c r="E20" s="57"/>
      <c r="F20" s="64" t="s">
        <v>167</v>
      </c>
      <c r="G20" s="64" t="s">
        <v>166</v>
      </c>
    </row>
    <row r="21" spans="1:7" ht="16" x14ac:dyDescent="0.2">
      <c r="A21" s="66">
        <v>4.0599999999999996</v>
      </c>
      <c r="B21" s="67" t="s">
        <v>26</v>
      </c>
      <c r="C21" s="56" t="s">
        <v>115</v>
      </c>
      <c r="D21" s="59">
        <f>IF(C21="y",VLOOKUP(LUT!C22,LUT!$C$4:$E$52,3),IF(C21="n",VLOOKUP(LUT!C22,LUT!$C$4:$E$52,2)," "))</f>
        <v>0</v>
      </c>
      <c r="E21" s="57"/>
      <c r="F21" s="64" t="s">
        <v>126</v>
      </c>
      <c r="G21" s="64"/>
    </row>
    <row r="22" spans="1:7" ht="48" x14ac:dyDescent="0.2">
      <c r="A22" s="66">
        <v>4.07</v>
      </c>
      <c r="B22" s="67" t="s">
        <v>27</v>
      </c>
      <c r="C22" s="56" t="s">
        <v>117</v>
      </c>
      <c r="D22" s="59">
        <f>IF(C22="y",VLOOKUP(LUT!C23,LUT!$C$4:$E$52,3),IF(C22="n",VLOOKUP(LUT!C23,LUT!$C$4:$E$52,2)," "))</f>
        <v>1</v>
      </c>
      <c r="E22" s="57"/>
      <c r="F22" s="64" t="s">
        <v>124</v>
      </c>
      <c r="G22" s="64" t="s">
        <v>125</v>
      </c>
    </row>
    <row r="23" spans="1:7" ht="32" x14ac:dyDescent="0.2">
      <c r="A23" s="66">
        <v>4.08</v>
      </c>
      <c r="B23" s="67" t="s">
        <v>28</v>
      </c>
      <c r="C23" s="56" t="s">
        <v>115</v>
      </c>
      <c r="D23" s="59">
        <f>IF(C23="y",VLOOKUP(LUT!C24,LUT!$C$4:$E$52,3),IF(C23="n",VLOOKUP(LUT!C24,LUT!$C$4:$E$52,2)," "))</f>
        <v>0</v>
      </c>
      <c r="E23" s="57"/>
      <c r="F23" s="64" t="s">
        <v>127</v>
      </c>
      <c r="G23" s="64" t="s">
        <v>128</v>
      </c>
    </row>
    <row r="24" spans="1:7" ht="48" x14ac:dyDescent="0.2">
      <c r="A24" s="66">
        <v>4.09</v>
      </c>
      <c r="B24" s="67" t="s">
        <v>29</v>
      </c>
      <c r="C24" s="56" t="s">
        <v>117</v>
      </c>
      <c r="D24" s="59">
        <f>IF(C24="y",VLOOKUP(LUT!C25,LUT!$C$4:$E$52,3),IF(C24="n",VLOOKUP(LUT!C25,LUT!$C$4:$E$52,2)," "))</f>
        <v>1</v>
      </c>
      <c r="E24" s="57"/>
      <c r="F24" s="64" t="s">
        <v>168</v>
      </c>
      <c r="G24" s="64" t="s">
        <v>169</v>
      </c>
    </row>
    <row r="25" spans="1:7" ht="48" x14ac:dyDescent="0.2">
      <c r="A25" s="66">
        <v>4.0999999999999996</v>
      </c>
      <c r="B25" s="68" t="s">
        <v>30</v>
      </c>
      <c r="C25" s="56" t="s">
        <v>93</v>
      </c>
      <c r="D25" s="59" t="str">
        <f>IF(C25="y",VLOOKUP(LUT!C26,LUT!$C$4:$E$52,3),IF(C25="n",VLOOKUP(LUT!C26,LUT!$C$4:$E$52,2)," "))</f>
        <v xml:space="preserve"> </v>
      </c>
      <c r="E25" s="57"/>
      <c r="F25" s="64" t="s">
        <v>170</v>
      </c>
      <c r="G25" s="64" t="s">
        <v>129</v>
      </c>
    </row>
    <row r="26" spans="1:7" ht="112" x14ac:dyDescent="0.2">
      <c r="A26" s="66">
        <v>4.1100000000000003</v>
      </c>
      <c r="B26" s="67" t="s">
        <v>31</v>
      </c>
      <c r="C26" s="56" t="s">
        <v>117</v>
      </c>
      <c r="D26" s="59">
        <f>IF(C26="y",VLOOKUP(LUT!C27,LUT!$C$4:$E$52,3),IF(C26="n",VLOOKUP(LUT!C27,LUT!$C$4:$E$52,2)," "))</f>
        <v>1</v>
      </c>
      <c r="E26" s="57"/>
      <c r="F26" s="64" t="s">
        <v>131</v>
      </c>
      <c r="G26" s="64" t="s">
        <v>130</v>
      </c>
    </row>
    <row r="27" spans="1:7" ht="16" x14ac:dyDescent="0.2">
      <c r="A27" s="66">
        <v>4.12</v>
      </c>
      <c r="B27" s="67" t="s">
        <v>32</v>
      </c>
      <c r="C27" s="56" t="s">
        <v>115</v>
      </c>
      <c r="D27" s="59">
        <f>IF(C27="y",VLOOKUP(LUT!C28,LUT!$C$4:$E$52,3),IF(C27="n",VLOOKUP(LUT!C28,LUT!$C$4:$E$52,2)," "))</f>
        <v>0</v>
      </c>
      <c r="E27" s="57"/>
      <c r="F27" s="64" t="s">
        <v>132</v>
      </c>
      <c r="G27" s="64"/>
    </row>
    <row r="28" spans="1:7" ht="16" x14ac:dyDescent="0.2">
      <c r="A28" s="66">
        <v>5.01</v>
      </c>
      <c r="B28" s="67" t="s">
        <v>33</v>
      </c>
      <c r="C28" s="56" t="s">
        <v>115</v>
      </c>
      <c r="D28" s="59">
        <f>IF(C28="y",VLOOKUP(LUT!C29,LUT!$C$4:$E$52,3),IF(C28="n",VLOOKUP(LUT!C29,LUT!$C$4:$E$52,2)," "))</f>
        <v>0</v>
      </c>
      <c r="E28" s="57"/>
      <c r="F28" s="64" t="s">
        <v>133</v>
      </c>
      <c r="G28" s="64"/>
    </row>
    <row r="29" spans="1:7" ht="16" x14ac:dyDescent="0.2">
      <c r="A29" s="66">
        <v>5.0199999999999996</v>
      </c>
      <c r="B29" s="67" t="s">
        <v>34</v>
      </c>
      <c r="C29" s="56" t="s">
        <v>115</v>
      </c>
      <c r="D29" s="59">
        <f>IF(C29="y",VLOOKUP(LUT!C30,LUT!$C$4:$E$52,3),IF(C29="n",VLOOKUP(LUT!C30,LUT!$C$4:$E$52,2)," "))</f>
        <v>0</v>
      </c>
      <c r="E29" s="57"/>
      <c r="F29" s="64" t="s">
        <v>171</v>
      </c>
      <c r="G29" s="64"/>
    </row>
    <row r="30" spans="1:7" ht="48" x14ac:dyDescent="0.2">
      <c r="A30" s="66">
        <v>5.03</v>
      </c>
      <c r="B30" s="67" t="s">
        <v>35</v>
      </c>
      <c r="C30" s="56" t="s">
        <v>115</v>
      </c>
      <c r="D30" s="59">
        <f>IF(C30="y",VLOOKUP(LUT!C31,LUT!$C$4:$E$52,3),IF(C30="n",VLOOKUP(LUT!C31,LUT!$C$4:$E$52,2)," "))</f>
        <v>0</v>
      </c>
      <c r="E30" s="57"/>
      <c r="F30" s="64" t="s">
        <v>172</v>
      </c>
      <c r="G30" s="64" t="s">
        <v>173</v>
      </c>
    </row>
    <row r="31" spans="1:7" ht="80" x14ac:dyDescent="0.2">
      <c r="A31" s="66">
        <v>5.04</v>
      </c>
      <c r="B31" s="67" t="s">
        <v>36</v>
      </c>
      <c r="C31" s="56" t="s">
        <v>115</v>
      </c>
      <c r="D31" s="59">
        <f>IF(C31="y",VLOOKUP(LUT!C32,LUT!$C$4:$E$52,3),IF(C31="n",VLOOKUP(LUT!C32,LUT!$C$4:$E$52,2)," "))</f>
        <v>0</v>
      </c>
      <c r="E31" s="57"/>
      <c r="F31" s="64" t="s">
        <v>174</v>
      </c>
      <c r="G31" s="64" t="s">
        <v>136</v>
      </c>
    </row>
    <row r="32" spans="1:7" ht="32" x14ac:dyDescent="0.2">
      <c r="A32" s="66">
        <v>6.01</v>
      </c>
      <c r="B32" s="67" t="s">
        <v>37</v>
      </c>
      <c r="C32" s="56" t="s">
        <v>115</v>
      </c>
      <c r="D32" s="59">
        <f>IF(C32="y",VLOOKUP(LUT!C33,LUT!$C$4:$E$52,3),IF(C32="n",VLOOKUP(LUT!C33,LUT!$C$4:$E$52,2)," "))</f>
        <v>0</v>
      </c>
      <c r="E32" s="57"/>
      <c r="F32" s="64" t="s">
        <v>134</v>
      </c>
      <c r="G32" s="64"/>
    </row>
    <row r="33" spans="1:7" ht="64" x14ac:dyDescent="0.2">
      <c r="A33" s="66">
        <v>6.02</v>
      </c>
      <c r="B33" s="67" t="s">
        <v>38</v>
      </c>
      <c r="C33" s="56" t="s">
        <v>117</v>
      </c>
      <c r="D33" s="59">
        <f>IF(C33="y",VLOOKUP(LUT!C34,LUT!$C$4:$E$52,3),IF(C33="n",VLOOKUP(LUT!C34,LUT!$C$4:$E$52,2)," "))</f>
        <v>1</v>
      </c>
      <c r="E33" s="57"/>
      <c r="F33" s="64" t="s">
        <v>175</v>
      </c>
      <c r="G33" s="64" t="s">
        <v>176</v>
      </c>
    </row>
    <row r="34" spans="1:7" ht="16" x14ac:dyDescent="0.2">
      <c r="A34" s="66">
        <v>6.03</v>
      </c>
      <c r="B34" s="67" t="s">
        <v>39</v>
      </c>
      <c r="C34" s="56" t="s">
        <v>115</v>
      </c>
      <c r="D34" s="59">
        <f>IF(C34="y",VLOOKUP(LUT!C35,LUT!$C$4:$E$52,3),IF(C34="n",VLOOKUP(LUT!C35,LUT!$C$4:$E$52,2)," "))</f>
        <v>-1</v>
      </c>
      <c r="E34" s="57"/>
      <c r="F34" s="64" t="s">
        <v>135</v>
      </c>
      <c r="G34" s="64"/>
    </row>
    <row r="35" spans="1:7" ht="48" x14ac:dyDescent="0.2">
      <c r="A35" s="66">
        <v>6.04</v>
      </c>
      <c r="B35" s="67" t="s">
        <v>40</v>
      </c>
      <c r="C35" s="56" t="s">
        <v>115</v>
      </c>
      <c r="D35" s="59">
        <f>IF(C35="y",VLOOKUP(LUT!C36,LUT!$C$4:$E$52,3),IF(C35="n",VLOOKUP(LUT!C36,LUT!$C$4:$E$52,2)," "))</f>
        <v>-1</v>
      </c>
      <c r="E35" s="57"/>
      <c r="F35" s="64" t="s">
        <v>177</v>
      </c>
      <c r="G35" s="64" t="s">
        <v>178</v>
      </c>
    </row>
    <row r="36" spans="1:7" ht="32" x14ac:dyDescent="0.2">
      <c r="A36" s="66">
        <v>6.05</v>
      </c>
      <c r="B36" s="67" t="s">
        <v>41</v>
      </c>
      <c r="C36" s="56" t="s">
        <v>115</v>
      </c>
      <c r="D36" s="59">
        <f>IF(C36="y",VLOOKUP(LUT!C37,LUT!$C$4:$E$52,3),IF(C36="n",VLOOKUP(LUT!C37,LUT!$C$4:$E$52,2)," "))</f>
        <v>0</v>
      </c>
      <c r="E36" s="57"/>
      <c r="F36" s="64" t="s">
        <v>137</v>
      </c>
      <c r="G36" s="64" t="s">
        <v>138</v>
      </c>
    </row>
    <row r="37" spans="1:7" ht="96" x14ac:dyDescent="0.2">
      <c r="A37" s="66">
        <v>6.06</v>
      </c>
      <c r="B37" s="67" t="s">
        <v>42</v>
      </c>
      <c r="C37" s="56" t="s">
        <v>117</v>
      </c>
      <c r="D37" s="59">
        <f>IF(C37="y",VLOOKUP(LUT!C38,LUT!$C$4:$E$52,3),IF(C37="n",VLOOKUP(LUT!C38,LUT!$C$4:$E$52,2)," "))</f>
        <v>1</v>
      </c>
      <c r="E37" s="57"/>
      <c r="F37" s="64" t="s">
        <v>179</v>
      </c>
      <c r="G37" s="64" t="s">
        <v>180</v>
      </c>
    </row>
    <row r="38" spans="1:7" ht="32" x14ac:dyDescent="0.2">
      <c r="A38" s="66">
        <v>6.07</v>
      </c>
      <c r="B38" s="67" t="s">
        <v>43</v>
      </c>
      <c r="C38" s="84" t="s">
        <v>139</v>
      </c>
      <c r="D38" s="59">
        <f>IF(C38="1 or fewer",1,IF(C38="2 or 3",0,IF(C38&gt;="4 or more",-1," ")))</f>
        <v>1</v>
      </c>
      <c r="E38" s="57"/>
      <c r="F38" s="64" t="s">
        <v>140</v>
      </c>
      <c r="G38" s="64" t="s">
        <v>141</v>
      </c>
    </row>
    <row r="39" spans="1:7" ht="32" x14ac:dyDescent="0.2">
      <c r="A39" s="66">
        <v>7.01</v>
      </c>
      <c r="B39" s="67" t="s">
        <v>44</v>
      </c>
      <c r="C39" s="56" t="s">
        <v>117</v>
      </c>
      <c r="D39" s="59">
        <f>IF(C39="y",VLOOKUP(LUT!C40,LUT!$C$4:$E$52,3),IF(C39="n",VLOOKUP(LUT!C40,LUT!$C$4:$E$52,2)," "))</f>
        <v>1</v>
      </c>
      <c r="E39" s="57"/>
      <c r="F39" s="64" t="s">
        <v>142</v>
      </c>
      <c r="G39" s="64" t="s">
        <v>143</v>
      </c>
    </row>
    <row r="40" spans="1:7" ht="32" x14ac:dyDescent="0.2">
      <c r="A40" s="66">
        <v>7.02</v>
      </c>
      <c r="B40" s="67" t="s">
        <v>45</v>
      </c>
      <c r="C40" s="56" t="s">
        <v>115</v>
      </c>
      <c r="D40" s="59">
        <f>IF(C40="y",VLOOKUP(LUT!C41,LUT!$C$4:$E$52,3),IF(C40="n",VLOOKUP(LUT!C41,LUT!$C$4:$E$52,2)," "))</f>
        <v>-1</v>
      </c>
      <c r="E40" s="57"/>
      <c r="F40" s="64" t="s">
        <v>144</v>
      </c>
      <c r="G40" s="64"/>
    </row>
    <row r="41" spans="1:7" ht="64" x14ac:dyDescent="0.2">
      <c r="A41" s="66">
        <v>7.03</v>
      </c>
      <c r="B41" s="67" t="s">
        <v>46</v>
      </c>
      <c r="C41" s="56" t="s">
        <v>93</v>
      </c>
      <c r="D41" s="59" t="str">
        <f>IF(C41="y",VLOOKUP(LUT!C42,LUT!$C$4:$E$52,3),IF(C41="n",VLOOKUP(LUT!C42,LUT!$C$4:$E$52,2)," "))</f>
        <v xml:space="preserve"> </v>
      </c>
      <c r="E41" s="57"/>
      <c r="F41" s="64" t="s">
        <v>182</v>
      </c>
      <c r="G41" s="64" t="s">
        <v>181</v>
      </c>
    </row>
    <row r="42" spans="1:7" ht="16" x14ac:dyDescent="0.2">
      <c r="A42" s="66">
        <v>7.04</v>
      </c>
      <c r="B42" s="67" t="s">
        <v>47</v>
      </c>
      <c r="C42" s="56" t="s">
        <v>115</v>
      </c>
      <c r="D42" s="59">
        <f>IF(C42="y",VLOOKUP(LUT!C43,LUT!$C$4:$E$52,3),IF(C42="n",VLOOKUP(LUT!C43,LUT!$C$4:$E$52,2)," "))</f>
        <v>-1</v>
      </c>
      <c r="E42" s="57"/>
      <c r="F42" s="64" t="s">
        <v>145</v>
      </c>
      <c r="G42" s="64"/>
    </row>
    <row r="43" spans="1:7" ht="16" x14ac:dyDescent="0.2">
      <c r="A43" s="66">
        <v>7.05</v>
      </c>
      <c r="B43" s="67" t="s">
        <v>48</v>
      </c>
      <c r="C43" s="56" t="s">
        <v>115</v>
      </c>
      <c r="D43" s="59">
        <f>IF(C43="y",VLOOKUP(LUT!C44,LUT!$C$4:$E$52,3),IF(C43="n",VLOOKUP(LUT!C44,LUT!$C$4:$E$52,2)," "))</f>
        <v>-1</v>
      </c>
      <c r="E43" s="57"/>
      <c r="F43" s="64" t="s">
        <v>146</v>
      </c>
      <c r="G43" s="64"/>
    </row>
    <row r="44" spans="1:7" ht="48" x14ac:dyDescent="0.2">
      <c r="A44" s="66">
        <v>7.06</v>
      </c>
      <c r="B44" s="67" t="s">
        <v>49</v>
      </c>
      <c r="C44" s="56" t="s">
        <v>117</v>
      </c>
      <c r="D44" s="59">
        <f>IF(C44="y",VLOOKUP(LUT!C45,LUT!$C$4:$E$52,3),IF(C44="n",VLOOKUP(LUT!C45,LUT!$C$4:$E$52,2)," "))</f>
        <v>1</v>
      </c>
      <c r="E44" s="57"/>
      <c r="F44" s="64" t="s">
        <v>147</v>
      </c>
      <c r="G44" s="64" t="s">
        <v>148</v>
      </c>
    </row>
    <row r="45" spans="1:7" ht="48" x14ac:dyDescent="0.2">
      <c r="A45" s="66">
        <v>7.07</v>
      </c>
      <c r="B45" s="67" t="s">
        <v>50</v>
      </c>
      <c r="C45" s="56" t="s">
        <v>117</v>
      </c>
      <c r="D45" s="59">
        <f>IF(C45="y",VLOOKUP(LUT!C46,LUT!$C$4:$E$52,3),IF(C45="n",VLOOKUP(LUT!C46,LUT!$C$4:$E$52,2)," "))</f>
        <v>1</v>
      </c>
      <c r="E45" s="57"/>
      <c r="F45" s="64" t="s">
        <v>183</v>
      </c>
      <c r="G45" s="64" t="s">
        <v>184</v>
      </c>
    </row>
    <row r="46" spans="1:7" ht="80" x14ac:dyDescent="0.2">
      <c r="A46" s="66">
        <v>7.08</v>
      </c>
      <c r="B46" s="67" t="s">
        <v>51</v>
      </c>
      <c r="C46" s="56" t="s">
        <v>117</v>
      </c>
      <c r="D46" s="59">
        <f>IF(C46="y",VLOOKUP(LUT!C47,LUT!$C$4:$E$52,3),IF(C46="n",VLOOKUP(LUT!C47,LUT!$C$4:$E$52,2)," "))</f>
        <v>1</v>
      </c>
      <c r="E46" s="57"/>
      <c r="F46" s="64" t="s">
        <v>186</v>
      </c>
      <c r="G46" s="64" t="s">
        <v>185</v>
      </c>
    </row>
    <row r="47" spans="1:7" ht="80" x14ac:dyDescent="0.2">
      <c r="A47" s="66">
        <v>8.01</v>
      </c>
      <c r="B47" s="67" t="s">
        <v>52</v>
      </c>
      <c r="C47" s="56" t="s">
        <v>115</v>
      </c>
      <c r="D47" s="59">
        <f>IF(C47="y",VLOOKUP(LUT!C48,LUT!$C$4:$E$52,3),IF(C47="n",VLOOKUP(LUT!C48,LUT!$C$4:$E$52,2)," "))</f>
        <v>-1</v>
      </c>
      <c r="E47" s="57"/>
      <c r="F47" s="64" t="s">
        <v>188</v>
      </c>
      <c r="G47" s="64" t="s">
        <v>187</v>
      </c>
    </row>
    <row r="48" spans="1:7" ht="48" x14ac:dyDescent="0.2">
      <c r="A48" s="66">
        <v>8.02</v>
      </c>
      <c r="B48" s="67" t="s">
        <v>53</v>
      </c>
      <c r="C48" s="56" t="s">
        <v>93</v>
      </c>
      <c r="D48" s="59" t="str">
        <f>IF(C48="y",VLOOKUP(LUT!C49,LUT!$C$4:$E$52,3),IF(C48="n",VLOOKUP(LUT!C49,LUT!$C$4:$E$52,2)," "))</f>
        <v xml:space="preserve"> </v>
      </c>
      <c r="E48" s="57"/>
      <c r="F48" s="64" t="s">
        <v>149</v>
      </c>
      <c r="G48" s="64" t="s">
        <v>150</v>
      </c>
    </row>
    <row r="49" spans="1:7" ht="112" x14ac:dyDescent="0.2">
      <c r="A49" s="66">
        <v>8.0299999999999994</v>
      </c>
      <c r="B49" s="67" t="s">
        <v>54</v>
      </c>
      <c r="C49" s="56" t="s">
        <v>93</v>
      </c>
      <c r="D49" s="59" t="str">
        <f>IF(C49="y",VLOOKUP(LUT!C50,LUT!$C$4:$E$52,3),IF(C49="n",VLOOKUP(LUT!C50,LUT!$C$4:$E$52,2)," "))</f>
        <v xml:space="preserve"> </v>
      </c>
      <c r="E49" s="57"/>
      <c r="F49" s="64" t="s">
        <v>151</v>
      </c>
      <c r="G49" s="64" t="s">
        <v>152</v>
      </c>
    </row>
    <row r="50" spans="1:7" ht="16" x14ac:dyDescent="0.2">
      <c r="A50" s="66">
        <v>8.0399999999999991</v>
      </c>
      <c r="B50" s="67" t="s">
        <v>55</v>
      </c>
      <c r="C50" s="56" t="s">
        <v>115</v>
      </c>
      <c r="D50" s="59">
        <f>IF(C50="y",VLOOKUP(LUT!C51,LUT!$C$4:$E$52,3),IF(C50="n",VLOOKUP(LUT!C51,LUT!$C$4:$E$52,2)," "))</f>
        <v>-1</v>
      </c>
      <c r="E50" s="57"/>
      <c r="F50" s="64" t="s">
        <v>153</v>
      </c>
      <c r="G50" s="64"/>
    </row>
    <row r="51" spans="1:7" ht="16" x14ac:dyDescent="0.2">
      <c r="A51" s="66">
        <v>8.0500000000000007</v>
      </c>
      <c r="B51" s="67" t="s">
        <v>56</v>
      </c>
      <c r="C51" s="56" t="s">
        <v>115</v>
      </c>
      <c r="D51" s="59">
        <f>IF(C51="y",VLOOKUP(LUT!C52,LUT!$C$4:$E$52,3),IF(C51="n",VLOOKUP(LUT!C52,LUT!$C$4:$E$52,2)," "))</f>
        <v>1</v>
      </c>
      <c r="E51" s="57"/>
      <c r="F51" s="64" t="s">
        <v>154</v>
      </c>
      <c r="G51" s="64"/>
    </row>
    <row r="52" spans="1:7" ht="16" thickBot="1" x14ac:dyDescent="0.25">
      <c r="A52" s="87"/>
      <c r="B52" s="86"/>
      <c r="C52" s="56"/>
      <c r="D52" s="56"/>
      <c r="E52" s="57"/>
      <c r="F52" s="56"/>
      <c r="G52" s="56"/>
    </row>
    <row r="53" spans="1:7" ht="29.25" customHeight="1" thickTop="1" x14ac:dyDescent="0.2">
      <c r="A53" s="56"/>
      <c r="B53" s="56"/>
      <c r="C53" s="69" t="s">
        <v>57</v>
      </c>
      <c r="D53" s="61">
        <f>SUM(D3:D51)</f>
        <v>15</v>
      </c>
      <c r="E53" s="62"/>
      <c r="F53" s="56"/>
      <c r="G53" s="56"/>
    </row>
    <row r="54" spans="1:7" ht="33" customHeight="1" thickBot="1" x14ac:dyDescent="0.25">
      <c r="A54" s="56"/>
      <c r="B54" s="56"/>
      <c r="C54" s="70" t="s">
        <v>58</v>
      </c>
      <c r="D54" s="21" t="str">
        <f>IF(E60="no","more info needed",IF(D53&lt;1,"accept",IF(D53&gt;6,"reject","evaluate further")))</f>
        <v>reject</v>
      </c>
      <c r="E54" s="62"/>
      <c r="F54" s="56"/>
      <c r="G54" s="56"/>
    </row>
    <row r="55" spans="1:7" ht="17" thickTop="1" thickBot="1" x14ac:dyDescent="0.25">
      <c r="A55" s="56"/>
      <c r="B55" s="56"/>
      <c r="C55" s="56"/>
      <c r="D55" s="56"/>
      <c r="E55" s="57"/>
      <c r="F55" s="56"/>
      <c r="G55" s="56"/>
    </row>
    <row r="56" spans="1:7" ht="34" thickTop="1" thickBot="1" x14ac:dyDescent="0.25">
      <c r="A56" s="56"/>
      <c r="B56" s="22" t="s">
        <v>59</v>
      </c>
      <c r="C56" s="23" t="s">
        <v>60</v>
      </c>
      <c r="D56" s="19" t="s">
        <v>61</v>
      </c>
      <c r="E56" s="62"/>
      <c r="F56" s="63"/>
      <c r="G56" s="56"/>
    </row>
    <row r="57" spans="1:7" ht="17" thickTop="1" x14ac:dyDescent="0.2">
      <c r="A57" s="56"/>
      <c r="B57" s="28" t="s">
        <v>62</v>
      </c>
      <c r="C57" s="24">
        <f>COUNTIF(C3:C15, "y")+COUNTIF(C3:C15, "n")+COUNTIF(C6:C7, "1")+COUNTIF(C6:C7, "2")+COUNTIF(C6:C7, "3")</f>
        <v>11</v>
      </c>
      <c r="D57" s="20" t="str">
        <f>IF(C57&gt;=2,"yes","no")</f>
        <v>yes</v>
      </c>
      <c r="E57" s="62"/>
      <c r="F57" s="56"/>
      <c r="G57" s="56"/>
    </row>
    <row r="58" spans="1:7" ht="16" x14ac:dyDescent="0.2">
      <c r="A58" s="56"/>
      <c r="B58" s="29" t="s">
        <v>63</v>
      </c>
      <c r="C58" s="24">
        <f>COUNTIF(C16:C27,"y")+COUNTIF(C16:C27,"n")</f>
        <v>10</v>
      </c>
      <c r="D58" s="20" t="str">
        <f>IF(C58&gt;=2,"yes","no")</f>
        <v>yes</v>
      </c>
      <c r="E58" s="62"/>
      <c r="F58" s="56"/>
      <c r="G58" s="56"/>
    </row>
    <row r="59" spans="1:7" ht="16" x14ac:dyDescent="0.2">
      <c r="A59" s="56"/>
      <c r="B59" s="28" t="s">
        <v>64</v>
      </c>
      <c r="C59" s="24">
        <f>COUNTIF(C28:C51,"y")+COUNTIF(C28:C51, "n")+COUNT(C28:C51)</f>
        <v>20</v>
      </c>
      <c r="D59" s="20" t="str">
        <f>IF(C59&gt;=6,"yes","no")</f>
        <v>yes</v>
      </c>
      <c r="E59" s="62"/>
      <c r="F59" s="56"/>
      <c r="G59" s="56"/>
    </row>
    <row r="60" spans="1:7" ht="17" thickBot="1" x14ac:dyDescent="0.25">
      <c r="A60" s="56"/>
      <c r="B60" s="25" t="s">
        <v>65</v>
      </c>
      <c r="C60" s="26">
        <f>SUM(C57:C59)</f>
        <v>41</v>
      </c>
      <c r="D60" s="21" t="str">
        <f>IF(D57="no","no",IF(D58="no","no",IF(D59="no","no","yes")))</f>
        <v>yes</v>
      </c>
      <c r="E60" s="62"/>
      <c r="F60" s="56"/>
      <c r="G60" s="56"/>
    </row>
    <row r="61" spans="1:7" ht="16" thickTop="1" x14ac:dyDescent="0.2">
      <c r="A61" s="56"/>
      <c r="B61" s="56"/>
      <c r="C61" s="56"/>
      <c r="D61" s="56"/>
      <c r="E61" s="57"/>
      <c r="F61" s="56"/>
      <c r="G61" s="56"/>
    </row>
    <row r="62" spans="1:7" x14ac:dyDescent="0.2">
      <c r="A62" s="56"/>
      <c r="B62" s="56"/>
      <c r="C62" s="56"/>
      <c r="D62" s="56"/>
      <c r="E62" s="57"/>
      <c r="F62" s="56"/>
      <c r="G62" s="56"/>
    </row>
    <row r="63" spans="1:7" ht="16" thickBot="1" x14ac:dyDescent="0.25">
      <c r="A63" s="56"/>
      <c r="B63" s="108" t="s">
        <v>66</v>
      </c>
      <c r="C63" s="108"/>
      <c r="D63" s="108"/>
      <c r="E63" s="62"/>
      <c r="F63" s="56"/>
      <c r="G63" s="56"/>
    </row>
    <row r="64" spans="1:7" ht="16" thickBot="1" x14ac:dyDescent="0.25">
      <c r="A64" s="56"/>
      <c r="B64" s="109" t="s">
        <v>67</v>
      </c>
      <c r="C64" s="110"/>
      <c r="D64" s="111"/>
      <c r="E64" s="62"/>
      <c r="F64" s="56"/>
      <c r="G64" s="56"/>
    </row>
    <row r="65" spans="1:7" x14ac:dyDescent="0.2">
      <c r="A65" s="56">
        <v>9.01</v>
      </c>
      <c r="B65" s="71" t="s">
        <v>68</v>
      </c>
      <c r="C65" s="112"/>
      <c r="D65" s="113"/>
      <c r="E65" s="62"/>
      <c r="F65" s="56"/>
      <c r="G65" s="56"/>
    </row>
    <row r="66" spans="1:7" x14ac:dyDescent="0.2">
      <c r="A66" s="56">
        <v>9.02</v>
      </c>
      <c r="B66" s="71" t="s">
        <v>69</v>
      </c>
      <c r="C66" s="114"/>
      <c r="D66" s="115"/>
      <c r="E66" s="62"/>
      <c r="F66" s="56"/>
      <c r="G66" s="56"/>
    </row>
    <row r="67" spans="1:7" x14ac:dyDescent="0.2">
      <c r="A67" s="56">
        <v>9.0299999999999994</v>
      </c>
      <c r="B67" s="71" t="s">
        <v>70</v>
      </c>
      <c r="C67" s="106"/>
      <c r="D67" s="107"/>
      <c r="E67" s="62"/>
      <c r="F67" s="56"/>
      <c r="G67" s="56"/>
    </row>
    <row r="68" spans="1:7" x14ac:dyDescent="0.2">
      <c r="A68" s="56">
        <v>9.0399999999999991</v>
      </c>
      <c r="B68" s="71" t="s">
        <v>71</v>
      </c>
      <c r="C68" s="106"/>
      <c r="D68" s="107"/>
      <c r="E68" s="62"/>
      <c r="F68" s="56"/>
      <c r="G68" s="56"/>
    </row>
    <row r="69" spans="1:7" x14ac:dyDescent="0.2">
      <c r="A69" s="56">
        <v>9.0500000000000007</v>
      </c>
      <c r="B69" s="71" t="s">
        <v>72</v>
      </c>
      <c r="C69" s="106"/>
      <c r="D69" s="107"/>
      <c r="E69" s="62"/>
      <c r="F69" s="56"/>
      <c r="G69" s="56"/>
    </row>
    <row r="70" spans="1:7" x14ac:dyDescent="0.2">
      <c r="A70" s="56">
        <v>9.06</v>
      </c>
      <c r="B70" s="71" t="s">
        <v>73</v>
      </c>
      <c r="C70" s="106"/>
      <c r="D70" s="107"/>
      <c r="E70" s="62"/>
      <c r="F70" s="56"/>
      <c r="G70" s="56"/>
    </row>
    <row r="71" spans="1:7" x14ac:dyDescent="0.2">
      <c r="A71" s="56">
        <v>9.07</v>
      </c>
      <c r="B71" s="71" t="s">
        <v>74</v>
      </c>
      <c r="C71" s="94"/>
      <c r="D71" s="97" t="str">
        <f>IF(C71="yes", IF(OR(C65="?", C66="?", C67="no", C67="?"), "eval.", IF(AND(C65="yes", C66="yes", C67="yes"), "reject", IF(OR(C65="no", C66="no"), "accept", " ")))," ")</f>
        <v xml:space="preserve"> </v>
      </c>
      <c r="E71" s="62"/>
      <c r="F71" s="56"/>
      <c r="G71" s="56"/>
    </row>
    <row r="72" spans="1:7" x14ac:dyDescent="0.2">
      <c r="A72" s="56">
        <v>9.08</v>
      </c>
      <c r="B72" s="71" t="s">
        <v>75</v>
      </c>
      <c r="C72" s="92"/>
      <c r="D72" s="89" t="str">
        <f>IF(C71="yes","STOP",IF(C72="yes",IF(C68="no","accept",IF(AND(C68="yes",OR(C69="yes",C70="yes")),"reject",IF(OR(C68="?",C69="?",C70="?",C69="no",C70="no"),"eval.",""))), ""))</f>
        <v/>
      </c>
      <c r="E72" s="62"/>
      <c r="F72" s="56"/>
      <c r="G72" s="56"/>
    </row>
    <row r="73" spans="1:7" ht="16" thickBot="1" x14ac:dyDescent="0.25">
      <c r="A73" s="56">
        <v>9.09</v>
      </c>
      <c r="B73" s="91" t="s">
        <v>76</v>
      </c>
      <c r="C73" s="93"/>
      <c r="D73" s="90" t="str">
        <f>IF(OR(C71="yes",C72="yes"),"STOP",IF(C73="yes",IF(AND(LUT!I26="accept",LUT!I27="accept"),"accept",IF(AND(LUT!I26="eval.",LUT!I27="eval."),"eval.",IF(OR(LUT!I26="reject",LUT!I27="reject"),"reject",""))),""))</f>
        <v/>
      </c>
      <c r="E73" s="62"/>
      <c r="F73" s="56"/>
      <c r="G73" s="56"/>
    </row>
    <row r="74" spans="1:7" ht="16" thickBot="1" x14ac:dyDescent="0.25">
      <c r="A74" s="56"/>
      <c r="B74" s="72" t="s">
        <v>77</v>
      </c>
      <c r="C74" s="104" t="str">
        <f>IF(OR(D71="accept", D72="accept", D73="accept"), "Accept", IF(OR(D71="eval.", D72="eval.", D73="eval."), "Evaluate Further", IF(OR(D71="reject", D72="reject",D73="reject"), "Reject", "")))</f>
        <v/>
      </c>
      <c r="D74" s="105"/>
      <c r="E74" s="62"/>
      <c r="F74" s="56"/>
      <c r="G74" s="56"/>
    </row>
    <row r="75" spans="1:7" x14ac:dyDescent="0.2">
      <c r="A75" s="56"/>
      <c r="B75" s="64"/>
      <c r="C75" s="64"/>
      <c r="D75" s="56"/>
      <c r="E75" s="57"/>
      <c r="F75" s="56"/>
      <c r="G75" s="56"/>
    </row>
    <row r="76" spans="1:7" x14ac:dyDescent="0.2">
      <c r="A76" s="56"/>
      <c r="B76" s="64"/>
      <c r="C76" s="64"/>
      <c r="D76" s="56"/>
      <c r="E76" s="57"/>
      <c r="F76" s="56"/>
      <c r="G76" s="56"/>
    </row>
    <row r="77" spans="1:7" x14ac:dyDescent="0.2">
      <c r="A77" s="56"/>
      <c r="B77" s="64"/>
      <c r="C77" s="64"/>
      <c r="D77" s="56"/>
      <c r="E77" s="57"/>
      <c r="F77" s="56"/>
      <c r="G77" s="56"/>
    </row>
    <row r="78" spans="1:7" x14ac:dyDescent="0.2">
      <c r="A78" s="56"/>
      <c r="B78" s="64"/>
      <c r="C78" s="64"/>
      <c r="D78" s="56"/>
      <c r="E78" s="57"/>
      <c r="F78" s="56"/>
      <c r="G78" s="56"/>
    </row>
    <row r="79" spans="1:7" x14ac:dyDescent="0.2">
      <c r="A79" s="56"/>
      <c r="B79" s="64"/>
      <c r="C79" s="64"/>
      <c r="D79" s="56"/>
      <c r="E79" s="57"/>
      <c r="F79" s="56"/>
      <c r="G79" s="56"/>
    </row>
    <row r="80" spans="1:7" x14ac:dyDescent="0.2">
      <c r="A80" s="56"/>
      <c r="B80" s="64"/>
      <c r="C80" s="64"/>
      <c r="D80" s="56"/>
      <c r="E80" s="57"/>
      <c r="F80" s="56"/>
      <c r="G80" s="56"/>
    </row>
    <row r="81" spans="1:7" x14ac:dyDescent="0.2">
      <c r="A81" s="56"/>
      <c r="B81" s="64"/>
      <c r="C81" s="64"/>
      <c r="D81" s="56"/>
      <c r="E81" s="57"/>
      <c r="F81" s="56"/>
      <c r="G81" s="56"/>
    </row>
    <row r="82" spans="1:7" x14ac:dyDescent="0.2">
      <c r="A82" s="56"/>
      <c r="B82" s="64"/>
      <c r="C82" s="64"/>
      <c r="D82" s="56"/>
      <c r="E82" s="57"/>
      <c r="F82" s="56"/>
      <c r="G82" s="56"/>
    </row>
    <row r="83" spans="1:7" x14ac:dyDescent="0.2">
      <c r="A83" s="56"/>
      <c r="B83" s="64"/>
      <c r="C83" s="64"/>
      <c r="D83" s="56"/>
      <c r="E83" s="57"/>
      <c r="F83" s="56"/>
      <c r="G83" s="56"/>
    </row>
    <row r="84" spans="1:7" x14ac:dyDescent="0.2">
      <c r="A84" s="56"/>
      <c r="B84" s="64"/>
      <c r="C84" s="64"/>
      <c r="D84" s="56"/>
      <c r="E84" s="57"/>
      <c r="F84" s="56"/>
      <c r="G84" s="56"/>
    </row>
    <row r="85" spans="1:7" x14ac:dyDescent="0.2">
      <c r="A85" s="56"/>
      <c r="B85" s="64"/>
      <c r="C85" s="64"/>
      <c r="D85" s="56"/>
      <c r="E85" s="57"/>
      <c r="F85" s="56"/>
      <c r="G85" s="56"/>
    </row>
    <row r="86" spans="1:7" x14ac:dyDescent="0.2">
      <c r="A86" s="56"/>
      <c r="B86" s="56"/>
      <c r="C86" s="56"/>
      <c r="D86" s="56"/>
      <c r="E86" s="57"/>
      <c r="F86" s="56"/>
      <c r="G86" s="56"/>
    </row>
    <row r="107" spans="6:6" x14ac:dyDescent="0.2">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baseColWidth="10" defaultColWidth="8.83203125" defaultRowHeight="15" x14ac:dyDescent="0.2"/>
  <cols>
    <col min="1" max="1" width="6.83203125" customWidth="1"/>
    <col min="8" max="8" width="18.33203125" customWidth="1"/>
  </cols>
  <sheetData>
    <row r="1" spans="2:18" ht="16" thickBot="1" x14ac:dyDescent="0.25"/>
    <row r="2" spans="2:18" ht="16" thickBot="1" x14ac:dyDescent="0.25">
      <c r="B2" t="s">
        <v>78</v>
      </c>
      <c r="H2" s="141" t="s">
        <v>79</v>
      </c>
      <c r="I2" s="142"/>
      <c r="J2" s="142"/>
      <c r="K2" s="142"/>
      <c r="L2" s="142"/>
      <c r="M2" s="142"/>
      <c r="N2" s="142"/>
      <c r="O2" s="142"/>
      <c r="P2" s="142"/>
      <c r="Q2" s="142"/>
      <c r="R2" s="143"/>
    </row>
    <row r="3" spans="2:18" x14ac:dyDescent="0.2">
      <c r="B3" s="1" t="s">
        <v>59</v>
      </c>
      <c r="C3" s="2" t="s">
        <v>2</v>
      </c>
      <c r="D3" s="2" t="s">
        <v>80</v>
      </c>
      <c r="E3" s="3" t="s">
        <v>81</v>
      </c>
      <c r="H3" s="128" t="s">
        <v>82</v>
      </c>
      <c r="I3" s="129"/>
      <c r="J3" s="129"/>
      <c r="K3" s="129"/>
      <c r="L3" s="129"/>
      <c r="M3" s="129"/>
      <c r="N3" s="129"/>
      <c r="O3" s="129"/>
      <c r="P3" s="129"/>
      <c r="Q3" s="129"/>
      <c r="R3" s="130"/>
    </row>
    <row r="4" spans="2:18" x14ac:dyDescent="0.2">
      <c r="B4" s="4" t="s">
        <v>83</v>
      </c>
      <c r="C4">
        <v>1.01</v>
      </c>
      <c r="D4">
        <v>0</v>
      </c>
      <c r="E4" s="5">
        <v>-3</v>
      </c>
      <c r="H4" s="131" t="s">
        <v>84</v>
      </c>
      <c r="I4" s="132"/>
      <c r="J4" s="132"/>
      <c r="K4" s="132"/>
      <c r="L4" s="132"/>
      <c r="M4" s="132"/>
      <c r="N4" s="132"/>
      <c r="O4" s="132"/>
      <c r="P4" s="132"/>
      <c r="Q4" s="132"/>
      <c r="R4" s="16" t="s">
        <v>85</v>
      </c>
    </row>
    <row r="5" spans="2:18" x14ac:dyDescent="0.2">
      <c r="B5" s="4" t="s">
        <v>64</v>
      </c>
      <c r="C5">
        <v>1.02</v>
      </c>
      <c r="D5">
        <v>-1</v>
      </c>
      <c r="E5" s="5">
        <v>1</v>
      </c>
      <c r="H5" s="131" t="s">
        <v>86</v>
      </c>
      <c r="I5" s="10">
        <v>2.0099999999999998</v>
      </c>
      <c r="J5" s="10">
        <v>1</v>
      </c>
      <c r="K5" s="10">
        <v>1</v>
      </c>
      <c r="L5" s="10">
        <v>1</v>
      </c>
      <c r="M5" s="10">
        <v>2</v>
      </c>
      <c r="N5" s="10">
        <v>2</v>
      </c>
      <c r="O5" s="10">
        <v>2</v>
      </c>
      <c r="P5" s="10">
        <v>3</v>
      </c>
      <c r="Q5" s="10">
        <v>3</v>
      </c>
      <c r="R5" s="11">
        <v>3</v>
      </c>
    </row>
    <row r="6" spans="2:18" x14ac:dyDescent="0.2">
      <c r="B6" s="4" t="s">
        <v>64</v>
      </c>
      <c r="C6">
        <v>1.03</v>
      </c>
      <c r="D6">
        <v>-1</v>
      </c>
      <c r="E6" s="5">
        <v>1</v>
      </c>
      <c r="H6" s="131"/>
      <c r="I6" s="10">
        <v>2.02</v>
      </c>
      <c r="J6" s="10">
        <v>1</v>
      </c>
      <c r="K6" s="10">
        <v>2</v>
      </c>
      <c r="L6" s="10">
        <v>3</v>
      </c>
      <c r="M6" s="10">
        <v>1</v>
      </c>
      <c r="N6" s="10">
        <v>2</v>
      </c>
      <c r="O6" s="10">
        <v>3</v>
      </c>
      <c r="P6" s="10">
        <v>1</v>
      </c>
      <c r="Q6" s="10">
        <v>2</v>
      </c>
      <c r="R6" s="11">
        <v>3</v>
      </c>
    </row>
    <row r="7" spans="2:18" x14ac:dyDescent="0.2">
      <c r="B7" s="4"/>
      <c r="C7">
        <v>2.0099999999999998</v>
      </c>
      <c r="D7" s="116" t="s">
        <v>87</v>
      </c>
      <c r="E7" s="117"/>
      <c r="H7" s="133" t="s">
        <v>88</v>
      </c>
      <c r="I7" s="10">
        <v>3.01</v>
      </c>
      <c r="J7" s="10">
        <v>2</v>
      </c>
      <c r="K7" s="10">
        <v>1</v>
      </c>
      <c r="L7" s="10">
        <v>1</v>
      </c>
      <c r="M7" s="10">
        <v>2</v>
      </c>
      <c r="N7" s="10">
        <v>2</v>
      </c>
      <c r="O7" s="10">
        <v>1</v>
      </c>
      <c r="P7" s="10">
        <v>2</v>
      </c>
      <c r="Q7" s="10">
        <v>2</v>
      </c>
      <c r="R7" s="11">
        <v>2</v>
      </c>
    </row>
    <row r="8" spans="2:18" x14ac:dyDescent="0.2">
      <c r="B8" s="4"/>
      <c r="C8">
        <v>2.02</v>
      </c>
      <c r="D8" s="118"/>
      <c r="E8" s="119"/>
      <c r="H8" s="133"/>
      <c r="I8" s="10">
        <v>3.02</v>
      </c>
      <c r="J8" s="10">
        <v>2</v>
      </c>
      <c r="K8" s="10">
        <v>1</v>
      </c>
      <c r="L8" s="10">
        <v>1</v>
      </c>
      <c r="M8" s="10">
        <v>2</v>
      </c>
      <c r="N8" s="10">
        <v>2</v>
      </c>
      <c r="O8" s="10">
        <v>1</v>
      </c>
      <c r="P8" s="10">
        <v>2</v>
      </c>
      <c r="Q8" s="10">
        <v>2</v>
      </c>
      <c r="R8" s="11">
        <v>2</v>
      </c>
    </row>
    <row r="9" spans="2:18" x14ac:dyDescent="0.2">
      <c r="B9" s="4" t="s">
        <v>64</v>
      </c>
      <c r="C9">
        <v>2.0299999999999998</v>
      </c>
      <c r="D9">
        <v>0</v>
      </c>
      <c r="E9" s="5">
        <v>1</v>
      </c>
      <c r="H9" s="133"/>
      <c r="I9" s="10">
        <v>3.03</v>
      </c>
      <c r="J9" s="10">
        <v>4</v>
      </c>
      <c r="K9" s="10">
        <v>2</v>
      </c>
      <c r="L9" s="10">
        <v>1</v>
      </c>
      <c r="M9" s="10">
        <v>4</v>
      </c>
      <c r="N9" s="10">
        <v>3</v>
      </c>
      <c r="O9" s="10">
        <v>2</v>
      </c>
      <c r="P9" s="10">
        <v>4</v>
      </c>
      <c r="Q9" s="10">
        <v>4</v>
      </c>
      <c r="R9" s="11">
        <v>4</v>
      </c>
    </row>
    <row r="10" spans="2:18" x14ac:dyDescent="0.2">
      <c r="B10" s="4" t="s">
        <v>64</v>
      </c>
      <c r="C10">
        <v>2.04</v>
      </c>
      <c r="D10">
        <v>0</v>
      </c>
      <c r="E10" s="5">
        <v>1</v>
      </c>
      <c r="H10" s="133"/>
      <c r="I10" s="10">
        <v>3.04</v>
      </c>
      <c r="J10" s="10">
        <v>4</v>
      </c>
      <c r="K10" s="10">
        <v>2</v>
      </c>
      <c r="L10" s="10">
        <v>1</v>
      </c>
      <c r="M10" s="10">
        <v>4</v>
      </c>
      <c r="N10" s="10">
        <v>3</v>
      </c>
      <c r="O10" s="10">
        <v>2</v>
      </c>
      <c r="P10" s="10">
        <v>4</v>
      </c>
      <c r="Q10" s="10">
        <v>4</v>
      </c>
      <c r="R10" s="11">
        <v>4</v>
      </c>
    </row>
    <row r="11" spans="2:18" x14ac:dyDescent="0.2">
      <c r="B11" s="4"/>
      <c r="C11">
        <v>2.0499999999999998</v>
      </c>
      <c r="E11" s="5"/>
      <c r="H11" s="133"/>
      <c r="I11" s="10">
        <v>3.05</v>
      </c>
      <c r="J11" s="10">
        <v>2</v>
      </c>
      <c r="K11" s="10">
        <v>1</v>
      </c>
      <c r="L11" s="10">
        <v>1</v>
      </c>
      <c r="M11" s="10">
        <v>2</v>
      </c>
      <c r="N11" s="10">
        <v>2</v>
      </c>
      <c r="O11" s="10">
        <v>1</v>
      </c>
      <c r="P11" s="10">
        <v>2</v>
      </c>
      <c r="Q11" s="10">
        <v>2</v>
      </c>
      <c r="R11" s="11">
        <v>2</v>
      </c>
    </row>
    <row r="12" spans="2:18" x14ac:dyDescent="0.2">
      <c r="B12" s="4" t="s">
        <v>64</v>
      </c>
      <c r="C12">
        <v>3.01</v>
      </c>
      <c r="D12" s="120" t="s">
        <v>89</v>
      </c>
      <c r="E12" s="121"/>
      <c r="H12" s="144" t="s">
        <v>90</v>
      </c>
      <c r="I12" s="145"/>
      <c r="J12" s="145"/>
      <c r="K12" s="145"/>
      <c r="L12" s="145"/>
      <c r="M12" s="145"/>
      <c r="N12" s="145"/>
      <c r="O12" s="145"/>
      <c r="P12" s="145"/>
      <c r="Q12" s="145"/>
      <c r="R12" s="147"/>
    </row>
    <row r="13" spans="2:18" x14ac:dyDescent="0.2">
      <c r="B13" s="4" t="s">
        <v>91</v>
      </c>
      <c r="C13">
        <v>3.02</v>
      </c>
      <c r="D13" s="122"/>
      <c r="E13" s="123"/>
      <c r="H13" s="4" t="s">
        <v>92</v>
      </c>
      <c r="I13" s="10">
        <v>2.0499999999999998</v>
      </c>
      <c r="J13" s="10" t="s">
        <v>93</v>
      </c>
      <c r="K13" s="10" t="s">
        <v>94</v>
      </c>
      <c r="L13" s="10" t="s">
        <v>95</v>
      </c>
      <c r="M13" s="145"/>
      <c r="N13" s="145"/>
      <c r="O13" s="145"/>
      <c r="P13" s="145"/>
      <c r="Q13" s="145"/>
      <c r="R13" s="147"/>
    </row>
    <row r="14" spans="2:18" x14ac:dyDescent="0.2">
      <c r="B14" s="4" t="s">
        <v>62</v>
      </c>
      <c r="C14">
        <v>3.03</v>
      </c>
      <c r="D14" s="122"/>
      <c r="E14" s="123"/>
      <c r="H14" s="133" t="s">
        <v>88</v>
      </c>
      <c r="I14" s="10">
        <v>3.01</v>
      </c>
      <c r="J14" s="10">
        <v>-1</v>
      </c>
      <c r="K14" s="10">
        <v>0</v>
      </c>
      <c r="L14" s="10">
        <v>-2</v>
      </c>
      <c r="M14" s="145"/>
      <c r="N14" s="145"/>
      <c r="O14" s="145"/>
      <c r="P14" s="145"/>
      <c r="Q14" s="145"/>
      <c r="R14" s="147"/>
    </row>
    <row r="15" spans="2:18" ht="16" thickBot="1" x14ac:dyDescent="0.25">
      <c r="B15" s="4" t="s">
        <v>91</v>
      </c>
      <c r="C15">
        <v>3.04</v>
      </c>
      <c r="D15" s="122"/>
      <c r="E15" s="123"/>
      <c r="H15" s="146"/>
      <c r="I15" s="13" t="s">
        <v>96</v>
      </c>
      <c r="J15" s="13">
        <v>0</v>
      </c>
      <c r="K15" s="13">
        <v>0</v>
      </c>
      <c r="L15" s="13">
        <v>0</v>
      </c>
      <c r="M15" s="148"/>
      <c r="N15" s="148"/>
      <c r="O15" s="148"/>
      <c r="P15" s="148"/>
      <c r="Q15" s="148"/>
      <c r="R15" s="149"/>
    </row>
    <row r="16" spans="2:18" x14ac:dyDescent="0.2">
      <c r="B16" s="4" t="s">
        <v>64</v>
      </c>
      <c r="C16">
        <v>3.05</v>
      </c>
      <c r="D16" s="124"/>
      <c r="E16" s="125"/>
    </row>
    <row r="17" spans="2:11" x14ac:dyDescent="0.2">
      <c r="B17" s="4" t="s">
        <v>97</v>
      </c>
      <c r="C17">
        <v>4.01</v>
      </c>
      <c r="D17">
        <v>0</v>
      </c>
      <c r="E17" s="5">
        <v>1</v>
      </c>
    </row>
    <row r="18" spans="2:11" ht="16" thickBot="1" x14ac:dyDescent="0.25">
      <c r="B18" s="4" t="s">
        <v>64</v>
      </c>
      <c r="C18">
        <v>4.0199999999999996</v>
      </c>
      <c r="D18">
        <v>0</v>
      </c>
      <c r="E18" s="5">
        <v>1</v>
      </c>
    </row>
    <row r="19" spans="2:11" x14ac:dyDescent="0.2">
      <c r="B19" s="4" t="s">
        <v>64</v>
      </c>
      <c r="C19">
        <v>4.03</v>
      </c>
      <c r="D19">
        <v>0</v>
      </c>
      <c r="E19" s="5">
        <v>1</v>
      </c>
      <c r="H19" s="141" t="s">
        <v>98</v>
      </c>
      <c r="I19" s="142"/>
      <c r="J19" s="142"/>
      <c r="K19" s="143"/>
    </row>
    <row r="20" spans="2:11" x14ac:dyDescent="0.2">
      <c r="B20" s="4" t="s">
        <v>62</v>
      </c>
      <c r="C20">
        <v>4.04</v>
      </c>
      <c r="D20">
        <v>-1</v>
      </c>
      <c r="E20" s="5">
        <v>1</v>
      </c>
      <c r="H20" s="4" t="s">
        <v>99</v>
      </c>
      <c r="I20" s="12">
        <v>1</v>
      </c>
      <c r="J20" s="12">
        <v>2</v>
      </c>
      <c r="K20" s="9">
        <v>4</v>
      </c>
    </row>
    <row r="21" spans="2:11" ht="16" thickBot="1" x14ac:dyDescent="0.25">
      <c r="B21" s="4" t="s">
        <v>64</v>
      </c>
      <c r="C21">
        <v>4.05</v>
      </c>
      <c r="D21">
        <v>0</v>
      </c>
      <c r="E21" s="5">
        <v>1</v>
      </c>
      <c r="H21" s="6" t="s">
        <v>4</v>
      </c>
      <c r="I21" s="14">
        <v>1</v>
      </c>
      <c r="J21" s="14">
        <v>0</v>
      </c>
      <c r="K21" s="15">
        <v>-1</v>
      </c>
    </row>
    <row r="22" spans="2:11" x14ac:dyDescent="0.2">
      <c r="B22" s="4" t="s">
        <v>64</v>
      </c>
      <c r="C22">
        <v>4.0599999999999996</v>
      </c>
      <c r="D22">
        <v>0</v>
      </c>
      <c r="E22" s="5">
        <v>1</v>
      </c>
    </row>
    <row r="23" spans="2:11" x14ac:dyDescent="0.2">
      <c r="B23" s="4" t="s">
        <v>64</v>
      </c>
      <c r="C23">
        <v>4.07</v>
      </c>
      <c r="D23">
        <v>0</v>
      </c>
      <c r="E23" s="5">
        <v>1</v>
      </c>
    </row>
    <row r="24" spans="2:11" ht="16" thickBot="1" x14ac:dyDescent="0.25">
      <c r="B24" s="4" t="s">
        <v>91</v>
      </c>
      <c r="C24">
        <v>4.08</v>
      </c>
      <c r="D24">
        <v>0</v>
      </c>
      <c r="E24" s="5">
        <v>1</v>
      </c>
    </row>
    <row r="25" spans="2:11" x14ac:dyDescent="0.2">
      <c r="B25" s="4" t="s">
        <v>91</v>
      </c>
      <c r="C25">
        <v>4.09</v>
      </c>
      <c r="D25">
        <v>0</v>
      </c>
      <c r="E25" s="5">
        <v>1</v>
      </c>
      <c r="H25" s="134" t="s">
        <v>100</v>
      </c>
      <c r="I25" s="135"/>
      <c r="J25" s="135"/>
      <c r="K25" s="136"/>
    </row>
    <row r="26" spans="2:11" x14ac:dyDescent="0.2">
      <c r="B26" s="4" t="s">
        <v>91</v>
      </c>
      <c r="C26">
        <v>4.0999999999999996</v>
      </c>
      <c r="D26">
        <v>0</v>
      </c>
      <c r="E26" s="5">
        <v>1</v>
      </c>
      <c r="H26" s="95" t="s">
        <v>101</v>
      </c>
      <c r="I26" s="137" t="str">
        <f>IF(OR('WRA Worksheet'!C65="?",'WRA Worksheet'!C66="?",'WRA Worksheet'!C67="?",'WRA Worksheet'!C67="no"),"eval.",IF(AND('WRA Worksheet'!C65="yes",'WRA Worksheet'!C66="yes",'WRA Worksheet'!C67="yes"),"reject",IF(OR('WRA Worksheet'!C65="no",'WRA Worksheet'!C66="no"),"accept","")))</f>
        <v/>
      </c>
      <c r="J26" s="137"/>
      <c r="K26" s="138"/>
    </row>
    <row r="27" spans="2:11" ht="16" thickBot="1" x14ac:dyDescent="0.25">
      <c r="B27" s="4" t="s">
        <v>91</v>
      </c>
      <c r="C27">
        <v>4.1100000000000003</v>
      </c>
      <c r="D27">
        <v>0</v>
      </c>
      <c r="E27" s="5">
        <v>1</v>
      </c>
      <c r="H27" s="96" t="s">
        <v>102</v>
      </c>
      <c r="I27" s="139" t="str">
        <f>IF('WRA Worksheet'!C68="no","accept",IF(AND('WRA Worksheet'!C68="yes",OR('WRA Worksheet'!C69="yes",'WRA Worksheet'!C70="yes")),"reject",IF(OR('WRA Worksheet'!C68="?",'WRA Worksheet'!C69="?",'WRA Worksheet'!C70="?",'WRA Worksheet'!C69="no",'WRA Worksheet'!C70="no"),"eval.","")))</f>
        <v/>
      </c>
      <c r="J27" s="139"/>
      <c r="K27" s="140"/>
    </row>
    <row r="28" spans="2:11" x14ac:dyDescent="0.2">
      <c r="B28" s="4" t="s">
        <v>64</v>
      </c>
      <c r="C28">
        <v>4.12</v>
      </c>
      <c r="D28">
        <v>0</v>
      </c>
      <c r="E28" s="5">
        <v>1</v>
      </c>
    </row>
    <row r="29" spans="2:11" x14ac:dyDescent="0.2">
      <c r="B29" s="4" t="s">
        <v>103</v>
      </c>
      <c r="C29">
        <v>5.01</v>
      </c>
      <c r="D29">
        <v>0</v>
      </c>
      <c r="E29" s="5">
        <v>5</v>
      </c>
    </row>
    <row r="30" spans="2:11" x14ac:dyDescent="0.2">
      <c r="B30" s="4" t="s">
        <v>64</v>
      </c>
      <c r="C30">
        <v>5.0199999999999996</v>
      </c>
      <c r="D30">
        <v>0</v>
      </c>
      <c r="E30" s="5">
        <v>1</v>
      </c>
    </row>
    <row r="31" spans="2:11" x14ac:dyDescent="0.2">
      <c r="B31" s="4" t="s">
        <v>91</v>
      </c>
      <c r="C31">
        <v>5.03</v>
      </c>
      <c r="D31">
        <v>0</v>
      </c>
      <c r="E31" s="5">
        <v>1</v>
      </c>
    </row>
    <row r="32" spans="2:11" x14ac:dyDescent="0.2">
      <c r="B32" s="4" t="s">
        <v>64</v>
      </c>
      <c r="C32">
        <v>5.04</v>
      </c>
      <c r="D32">
        <v>0</v>
      </c>
      <c r="E32" s="5">
        <v>1</v>
      </c>
    </row>
    <row r="33" spans="2:5" x14ac:dyDescent="0.2">
      <c r="B33" s="4" t="s">
        <v>64</v>
      </c>
      <c r="C33">
        <v>6.01</v>
      </c>
      <c r="D33">
        <v>0</v>
      </c>
      <c r="E33" s="5">
        <v>1</v>
      </c>
    </row>
    <row r="34" spans="2:5" x14ac:dyDescent="0.2">
      <c r="B34" s="4" t="s">
        <v>64</v>
      </c>
      <c r="C34">
        <v>6.02</v>
      </c>
      <c r="D34">
        <v>-1</v>
      </c>
      <c r="E34" s="5">
        <v>1</v>
      </c>
    </row>
    <row r="35" spans="2:5" x14ac:dyDescent="0.2">
      <c r="B35" s="4" t="s">
        <v>62</v>
      </c>
      <c r="C35">
        <v>6.03</v>
      </c>
      <c r="D35">
        <v>-1</v>
      </c>
      <c r="E35" s="5">
        <v>1</v>
      </c>
    </row>
    <row r="36" spans="2:5" x14ac:dyDescent="0.2">
      <c r="B36" s="4" t="s">
        <v>64</v>
      </c>
      <c r="C36">
        <v>6.04</v>
      </c>
      <c r="D36">
        <v>-1</v>
      </c>
      <c r="E36" s="5">
        <v>1</v>
      </c>
    </row>
    <row r="37" spans="2:5" x14ac:dyDescent="0.2">
      <c r="B37" s="4" t="s">
        <v>64</v>
      </c>
      <c r="C37">
        <v>6.05</v>
      </c>
      <c r="D37">
        <v>0</v>
      </c>
      <c r="E37" s="5">
        <v>-1</v>
      </c>
    </row>
    <row r="38" spans="2:5" x14ac:dyDescent="0.2">
      <c r="B38" s="4" t="s">
        <v>62</v>
      </c>
      <c r="C38">
        <v>6.06</v>
      </c>
      <c r="D38">
        <v>-1</v>
      </c>
      <c r="E38" s="5">
        <v>1</v>
      </c>
    </row>
    <row r="39" spans="2:5" x14ac:dyDescent="0.2">
      <c r="B39" s="4" t="s">
        <v>64</v>
      </c>
      <c r="C39">
        <v>6.07</v>
      </c>
      <c r="D39" s="126" t="s">
        <v>104</v>
      </c>
      <c r="E39" s="127"/>
    </row>
    <row r="40" spans="2:5" x14ac:dyDescent="0.2">
      <c r="B40" s="4" t="s">
        <v>62</v>
      </c>
      <c r="C40">
        <v>7.01</v>
      </c>
      <c r="D40">
        <v>-1</v>
      </c>
      <c r="E40" s="5">
        <v>1</v>
      </c>
    </row>
    <row r="41" spans="2:5" x14ac:dyDescent="0.2">
      <c r="B41" s="4" t="s">
        <v>64</v>
      </c>
      <c r="C41">
        <v>7.02</v>
      </c>
      <c r="D41">
        <v>-1</v>
      </c>
      <c r="E41" s="5">
        <v>1</v>
      </c>
    </row>
    <row r="42" spans="2:5" x14ac:dyDescent="0.2">
      <c r="B42" s="4" t="s">
        <v>62</v>
      </c>
      <c r="C42">
        <v>7.03</v>
      </c>
      <c r="D42">
        <v>-1</v>
      </c>
      <c r="E42" s="5">
        <v>1</v>
      </c>
    </row>
    <row r="43" spans="2:5" x14ac:dyDescent="0.2">
      <c r="B43" s="4" t="s">
        <v>64</v>
      </c>
      <c r="C43">
        <v>7.04</v>
      </c>
      <c r="D43">
        <v>-1</v>
      </c>
      <c r="E43" s="5">
        <v>1</v>
      </c>
    </row>
    <row r="44" spans="2:5" x14ac:dyDescent="0.2">
      <c r="B44" s="4" t="s">
        <v>91</v>
      </c>
      <c r="C44">
        <v>7.05</v>
      </c>
      <c r="D44">
        <v>-1</v>
      </c>
      <c r="E44" s="5">
        <v>1</v>
      </c>
    </row>
    <row r="45" spans="2:5" x14ac:dyDescent="0.2">
      <c r="B45" s="4" t="s">
        <v>91</v>
      </c>
      <c r="C45">
        <v>7.06</v>
      </c>
      <c r="D45">
        <v>-1</v>
      </c>
      <c r="E45" s="5">
        <v>1</v>
      </c>
    </row>
    <row r="46" spans="2:5" x14ac:dyDescent="0.2">
      <c r="B46" s="4" t="s">
        <v>64</v>
      </c>
      <c r="C46">
        <v>7.07</v>
      </c>
      <c r="D46">
        <v>-1</v>
      </c>
      <c r="E46" s="5">
        <v>1</v>
      </c>
    </row>
    <row r="47" spans="2:5" x14ac:dyDescent="0.2">
      <c r="B47" s="4" t="s">
        <v>64</v>
      </c>
      <c r="C47">
        <v>7.08</v>
      </c>
      <c r="D47">
        <v>-1</v>
      </c>
      <c r="E47" s="5">
        <v>1</v>
      </c>
    </row>
    <row r="48" spans="2:5" x14ac:dyDescent="0.2">
      <c r="B48" s="4" t="s">
        <v>64</v>
      </c>
      <c r="C48">
        <v>8.01</v>
      </c>
      <c r="D48">
        <v>-1</v>
      </c>
      <c r="E48" s="5">
        <v>1</v>
      </c>
    </row>
    <row r="49" spans="2:5" x14ac:dyDescent="0.2">
      <c r="B49" s="4" t="s">
        <v>64</v>
      </c>
      <c r="C49">
        <v>8.02</v>
      </c>
      <c r="D49">
        <v>-1</v>
      </c>
      <c r="E49" s="5">
        <v>1</v>
      </c>
    </row>
    <row r="50" spans="2:5" x14ac:dyDescent="0.2">
      <c r="B50" s="4" t="s">
        <v>62</v>
      </c>
      <c r="C50">
        <v>8.0299999999999994</v>
      </c>
      <c r="D50">
        <v>1</v>
      </c>
      <c r="E50" s="5">
        <v>-1</v>
      </c>
    </row>
    <row r="51" spans="2:5" x14ac:dyDescent="0.2">
      <c r="B51" s="4" t="s">
        <v>62</v>
      </c>
      <c r="C51">
        <v>8.0399999999999991</v>
      </c>
      <c r="D51">
        <v>-1</v>
      </c>
      <c r="E51" s="5">
        <v>1</v>
      </c>
    </row>
    <row r="52" spans="2:5" x14ac:dyDescent="0.2">
      <c r="B52" s="4" t="s">
        <v>64</v>
      </c>
      <c r="C52">
        <v>8.0500000000000007</v>
      </c>
      <c r="D52">
        <v>1</v>
      </c>
      <c r="E52" s="5">
        <v>-1</v>
      </c>
    </row>
    <row r="53" spans="2:5" x14ac:dyDescent="0.2">
      <c r="B53" s="4"/>
      <c r="E53" s="5"/>
    </row>
    <row r="54" spans="2:5" ht="16" thickBot="1" x14ac:dyDescent="0.25">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H2:R2"/>
    <mergeCell ref="H12:L12"/>
    <mergeCell ref="H14:H15"/>
    <mergeCell ref="M12:R15"/>
    <mergeCell ref="H19:K19"/>
    <mergeCell ref="D7:E8"/>
    <mergeCell ref="D12:E16"/>
    <mergeCell ref="D39:E39"/>
    <mergeCell ref="H3:R3"/>
    <mergeCell ref="H4:Q4"/>
    <mergeCell ref="H5:H6"/>
    <mergeCell ref="H7:H11"/>
    <mergeCell ref="H25:K25"/>
    <mergeCell ref="I26:K26"/>
    <mergeCell ref="I27:K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baseColWidth="10" defaultColWidth="8.83203125" defaultRowHeight="15" x14ac:dyDescent="0.2"/>
  <cols>
    <col min="1" max="1" width="7.1640625" customWidth="1"/>
    <col min="2" max="2" width="64.5" customWidth="1"/>
  </cols>
  <sheetData>
    <row r="1" spans="1:4" ht="109.5" customHeight="1" x14ac:dyDescent="0.2">
      <c r="A1" s="153" t="str">
        <f>'WRA Worksheet'!F1</f>
        <v>Assessment date: 06/07/2024 Prepared by Seokmin Kim</v>
      </c>
      <c r="B1" s="154"/>
      <c r="C1" s="154"/>
      <c r="D1" s="98" t="s">
        <v>105</v>
      </c>
    </row>
    <row r="2" spans="1:4" ht="19" x14ac:dyDescent="0.2">
      <c r="A2" s="150" t="s">
        <v>106</v>
      </c>
      <c r="B2" s="151"/>
      <c r="C2" s="73" t="s">
        <v>3</v>
      </c>
      <c r="D2" s="73" t="s">
        <v>4</v>
      </c>
    </row>
    <row r="3" spans="1:4" ht="16" x14ac:dyDescent="0.2">
      <c r="A3" s="74">
        <v>1.01</v>
      </c>
      <c r="B3" s="75" t="s">
        <v>8</v>
      </c>
      <c r="C3" s="76" t="str">
        <f>'WRA Worksheet'!C3</f>
        <v>n</v>
      </c>
      <c r="D3" s="82">
        <f>'WRA Worksheet'!D3</f>
        <v>0</v>
      </c>
    </row>
    <row r="4" spans="1:4" ht="16" x14ac:dyDescent="0.2">
      <c r="A4" s="74">
        <v>1.02</v>
      </c>
      <c r="B4" s="75" t="s">
        <v>9</v>
      </c>
      <c r="C4" s="76">
        <f>'WRA Worksheet'!C4</f>
        <v>0</v>
      </c>
      <c r="D4" s="82" t="str">
        <f>'WRA Worksheet'!D4</f>
        <v xml:space="preserve"> </v>
      </c>
    </row>
    <row r="5" spans="1:4" ht="16" x14ac:dyDescent="0.2">
      <c r="A5" s="74">
        <v>1.03</v>
      </c>
      <c r="B5" s="75" t="s">
        <v>10</v>
      </c>
      <c r="C5" s="76">
        <f>'WRA Worksheet'!C5</f>
        <v>0</v>
      </c>
      <c r="D5" s="82" t="str">
        <f>'WRA Worksheet'!D5</f>
        <v xml:space="preserve"> </v>
      </c>
    </row>
    <row r="6" spans="1:4" ht="52" x14ac:dyDescent="0.2">
      <c r="A6" s="74">
        <v>2.0099999999999998</v>
      </c>
      <c r="B6" s="77" t="s">
        <v>107</v>
      </c>
      <c r="C6" s="76">
        <f>'WRA Worksheet'!C6</f>
        <v>3</v>
      </c>
      <c r="D6" s="83"/>
    </row>
    <row r="7" spans="1:4" ht="16" x14ac:dyDescent="0.2">
      <c r="A7" s="74">
        <v>2.02</v>
      </c>
      <c r="B7" s="75" t="s">
        <v>108</v>
      </c>
      <c r="C7" s="76">
        <f>'WRA Worksheet'!C7</f>
        <v>3</v>
      </c>
      <c r="D7" s="83"/>
    </row>
    <row r="8" spans="1:4" ht="16" x14ac:dyDescent="0.2">
      <c r="A8" s="74">
        <v>2.0299999999999998</v>
      </c>
      <c r="B8" s="75" t="s">
        <v>13</v>
      </c>
      <c r="C8" s="76" t="str">
        <f>'WRA Worksheet'!C8</f>
        <v>y</v>
      </c>
      <c r="D8" s="82">
        <f>'WRA Worksheet'!D8</f>
        <v>1</v>
      </c>
    </row>
    <row r="9" spans="1:4" ht="52" x14ac:dyDescent="0.2">
      <c r="A9" s="74">
        <v>2.04</v>
      </c>
      <c r="B9" s="78" t="s">
        <v>14</v>
      </c>
      <c r="C9" s="76" t="str">
        <f>'WRA Worksheet'!C9</f>
        <v>y</v>
      </c>
      <c r="D9" s="82">
        <f>'WRA Worksheet'!D9</f>
        <v>1</v>
      </c>
    </row>
    <row r="10" spans="1:4" ht="32" x14ac:dyDescent="0.2">
      <c r="A10" s="74">
        <v>2.0499999999999998</v>
      </c>
      <c r="B10" s="75" t="s">
        <v>15</v>
      </c>
      <c r="C10" s="79" t="str">
        <f>'WRA Worksheet'!C10</f>
        <v>y</v>
      </c>
      <c r="D10" s="83"/>
    </row>
    <row r="11" spans="1:4" ht="16" x14ac:dyDescent="0.2">
      <c r="A11" s="74">
        <v>3.01</v>
      </c>
      <c r="B11" s="75" t="s">
        <v>16</v>
      </c>
      <c r="C11" s="76" t="str">
        <f>'WRA Worksheet'!C11</f>
        <v>y</v>
      </c>
      <c r="D11" s="82">
        <f>'WRA Worksheet'!D11</f>
        <v>2</v>
      </c>
    </row>
    <row r="12" spans="1:4" ht="16" x14ac:dyDescent="0.2">
      <c r="A12" s="74">
        <v>3.02</v>
      </c>
      <c r="B12" s="75" t="s">
        <v>17</v>
      </c>
      <c r="C12" s="76" t="str">
        <f>'WRA Worksheet'!C12</f>
        <v>y</v>
      </c>
      <c r="D12" s="82">
        <f>'WRA Worksheet'!D12</f>
        <v>2</v>
      </c>
    </row>
    <row r="13" spans="1:4" ht="16" x14ac:dyDescent="0.2">
      <c r="A13" s="74">
        <v>3.03</v>
      </c>
      <c r="B13" s="75" t="s">
        <v>18</v>
      </c>
      <c r="C13" s="76" t="str">
        <f>'WRA Worksheet'!C13</f>
        <v>n</v>
      </c>
      <c r="D13" s="82">
        <f>'WRA Worksheet'!D13</f>
        <v>0</v>
      </c>
    </row>
    <row r="14" spans="1:4" ht="16" x14ac:dyDescent="0.2">
      <c r="A14" s="74">
        <v>3.04</v>
      </c>
      <c r="B14" s="75" t="s">
        <v>19</v>
      </c>
      <c r="C14" s="76" t="str">
        <f>'WRA Worksheet'!C14</f>
        <v>y</v>
      </c>
      <c r="D14" s="82">
        <f>'WRA Worksheet'!D14</f>
        <v>4</v>
      </c>
    </row>
    <row r="15" spans="1:4" ht="16" x14ac:dyDescent="0.2">
      <c r="A15" s="74">
        <v>3.05</v>
      </c>
      <c r="B15" s="75" t="s">
        <v>20</v>
      </c>
      <c r="C15" s="76" t="str">
        <f>'WRA Worksheet'!C15</f>
        <v>n</v>
      </c>
      <c r="D15" s="82">
        <f>'WRA Worksheet'!D15</f>
        <v>0</v>
      </c>
    </row>
    <row r="16" spans="1:4" ht="16" x14ac:dyDescent="0.2">
      <c r="A16" s="74">
        <v>4.01</v>
      </c>
      <c r="B16" s="75" t="s">
        <v>21</v>
      </c>
      <c r="C16" s="76" t="str">
        <f>'WRA Worksheet'!C16</f>
        <v>n</v>
      </c>
      <c r="D16" s="82">
        <f>'WRA Worksheet'!D16</f>
        <v>0</v>
      </c>
    </row>
    <row r="17" spans="1:4" ht="16" x14ac:dyDescent="0.2">
      <c r="A17" s="74">
        <v>4.0199999999999996</v>
      </c>
      <c r="B17" s="75" t="s">
        <v>22</v>
      </c>
      <c r="C17" s="76" t="str">
        <f>'WRA Worksheet'!C17</f>
        <v>n</v>
      </c>
      <c r="D17" s="82">
        <f>'WRA Worksheet'!D17</f>
        <v>0</v>
      </c>
    </row>
    <row r="18" spans="1:4" ht="16" x14ac:dyDescent="0.2">
      <c r="A18" s="74">
        <v>4.03</v>
      </c>
      <c r="B18" s="75" t="s">
        <v>23</v>
      </c>
      <c r="C18" s="76" t="str">
        <f>'WRA Worksheet'!C18</f>
        <v>n</v>
      </c>
      <c r="D18" s="82">
        <f>'WRA Worksheet'!D18</f>
        <v>0</v>
      </c>
    </row>
    <row r="19" spans="1:4" ht="16" x14ac:dyDescent="0.2">
      <c r="A19" s="74">
        <v>4.04</v>
      </c>
      <c r="B19" s="75" t="s">
        <v>24</v>
      </c>
      <c r="C19" s="76" t="str">
        <f>'WRA Worksheet'!C19</f>
        <v>?</v>
      </c>
      <c r="D19" s="82" t="str">
        <f>'WRA Worksheet'!D19</f>
        <v xml:space="preserve"> </v>
      </c>
    </row>
    <row r="20" spans="1:4" ht="16" x14ac:dyDescent="0.2">
      <c r="A20" s="74">
        <v>4.05</v>
      </c>
      <c r="B20" s="75" t="s">
        <v>25</v>
      </c>
      <c r="C20" s="76" t="str">
        <f>'WRA Worksheet'!C20</f>
        <v>y</v>
      </c>
      <c r="D20" s="82">
        <f>'WRA Worksheet'!D20</f>
        <v>1</v>
      </c>
    </row>
    <row r="21" spans="1:4" ht="16" x14ac:dyDescent="0.2">
      <c r="A21" s="74">
        <v>4.0599999999999996</v>
      </c>
      <c r="B21" s="75" t="s">
        <v>26</v>
      </c>
      <c r="C21" s="76" t="str">
        <f>'WRA Worksheet'!C21</f>
        <v>n</v>
      </c>
      <c r="D21" s="82">
        <f>'WRA Worksheet'!D21</f>
        <v>0</v>
      </c>
    </row>
    <row r="22" spans="1:4" ht="16" x14ac:dyDescent="0.2">
      <c r="A22" s="74">
        <v>4.07</v>
      </c>
      <c r="B22" s="75" t="s">
        <v>27</v>
      </c>
      <c r="C22" s="76" t="str">
        <f>'WRA Worksheet'!C22</f>
        <v>y</v>
      </c>
      <c r="D22" s="82">
        <f>'WRA Worksheet'!D22</f>
        <v>1</v>
      </c>
    </row>
    <row r="23" spans="1:4" ht="16" x14ac:dyDescent="0.2">
      <c r="A23" s="74">
        <v>4.08</v>
      </c>
      <c r="B23" s="75" t="s">
        <v>28</v>
      </c>
      <c r="C23" s="76" t="str">
        <f>'WRA Worksheet'!C23</f>
        <v>n</v>
      </c>
      <c r="D23" s="82">
        <f>'WRA Worksheet'!D23</f>
        <v>0</v>
      </c>
    </row>
    <row r="24" spans="1:4" ht="16" x14ac:dyDescent="0.2">
      <c r="A24" s="74">
        <v>4.09</v>
      </c>
      <c r="B24" s="75" t="s">
        <v>29</v>
      </c>
      <c r="C24" s="76" t="str">
        <f>'WRA Worksheet'!C24</f>
        <v>y</v>
      </c>
      <c r="D24" s="82">
        <f>'WRA Worksheet'!D24</f>
        <v>1</v>
      </c>
    </row>
    <row r="25" spans="1:4" ht="32" x14ac:dyDescent="0.2">
      <c r="A25" s="74">
        <v>4.0999999999999996</v>
      </c>
      <c r="B25" s="80" t="s">
        <v>30</v>
      </c>
      <c r="C25" s="76" t="str">
        <f>'WRA Worksheet'!C25</f>
        <v>?</v>
      </c>
      <c r="D25" s="82" t="str">
        <f>'WRA Worksheet'!D25</f>
        <v xml:space="preserve"> </v>
      </c>
    </row>
    <row r="26" spans="1:4" ht="16" x14ac:dyDescent="0.2">
      <c r="A26" s="74">
        <v>4.1100000000000003</v>
      </c>
      <c r="B26" s="75" t="s">
        <v>31</v>
      </c>
      <c r="C26" s="76" t="str">
        <f>'WRA Worksheet'!C26</f>
        <v>y</v>
      </c>
      <c r="D26" s="82">
        <f>'WRA Worksheet'!D26</f>
        <v>1</v>
      </c>
    </row>
    <row r="27" spans="1:4" ht="16" x14ac:dyDescent="0.2">
      <c r="A27" s="74">
        <v>4.12</v>
      </c>
      <c r="B27" s="75" t="s">
        <v>32</v>
      </c>
      <c r="C27" s="76" t="str">
        <f>'WRA Worksheet'!C27</f>
        <v>n</v>
      </c>
      <c r="D27" s="82">
        <f>'WRA Worksheet'!D27</f>
        <v>0</v>
      </c>
    </row>
    <row r="28" spans="1:4" ht="16" x14ac:dyDescent="0.2">
      <c r="A28" s="74">
        <v>5.01</v>
      </c>
      <c r="B28" s="75" t="s">
        <v>33</v>
      </c>
      <c r="C28" s="76" t="str">
        <f>'WRA Worksheet'!C28</f>
        <v>n</v>
      </c>
      <c r="D28" s="82">
        <f>'WRA Worksheet'!D28</f>
        <v>0</v>
      </c>
    </row>
    <row r="29" spans="1:4" ht="16" x14ac:dyDescent="0.2">
      <c r="A29" s="74">
        <v>5.0199999999999996</v>
      </c>
      <c r="B29" s="75" t="s">
        <v>34</v>
      </c>
      <c r="C29" s="76" t="str">
        <f>'WRA Worksheet'!C29</f>
        <v>n</v>
      </c>
      <c r="D29" s="82">
        <f>'WRA Worksheet'!D29</f>
        <v>0</v>
      </c>
    </row>
    <row r="30" spans="1:4" ht="16" x14ac:dyDescent="0.2">
      <c r="A30" s="74">
        <v>5.03</v>
      </c>
      <c r="B30" s="75" t="s">
        <v>35</v>
      </c>
      <c r="C30" s="76" t="str">
        <f>'WRA Worksheet'!C30</f>
        <v>n</v>
      </c>
      <c r="D30" s="82">
        <f>'WRA Worksheet'!D30</f>
        <v>0</v>
      </c>
    </row>
    <row r="31" spans="1:4" ht="16" x14ac:dyDescent="0.2">
      <c r="A31" s="74">
        <v>5.04</v>
      </c>
      <c r="B31" s="75" t="s">
        <v>36</v>
      </c>
      <c r="C31" s="76" t="str">
        <f>'WRA Worksheet'!C31</f>
        <v>n</v>
      </c>
      <c r="D31" s="82">
        <f>'WRA Worksheet'!D31</f>
        <v>0</v>
      </c>
    </row>
    <row r="32" spans="1:4" ht="16" x14ac:dyDescent="0.2">
      <c r="A32" s="74">
        <v>6.01</v>
      </c>
      <c r="B32" s="75" t="s">
        <v>37</v>
      </c>
      <c r="C32" s="76" t="str">
        <f>'WRA Worksheet'!C32</f>
        <v>n</v>
      </c>
      <c r="D32" s="82">
        <f>'WRA Worksheet'!D32</f>
        <v>0</v>
      </c>
    </row>
    <row r="33" spans="1:4" ht="16" x14ac:dyDescent="0.2">
      <c r="A33" s="74">
        <v>6.02</v>
      </c>
      <c r="B33" s="75" t="s">
        <v>38</v>
      </c>
      <c r="C33" s="76" t="str">
        <f>'WRA Worksheet'!C33</f>
        <v>y</v>
      </c>
      <c r="D33" s="82">
        <f>'WRA Worksheet'!D33</f>
        <v>1</v>
      </c>
    </row>
    <row r="34" spans="1:4" ht="16" x14ac:dyDescent="0.2">
      <c r="A34" s="74">
        <v>6.03</v>
      </c>
      <c r="B34" s="75" t="s">
        <v>39</v>
      </c>
      <c r="C34" s="76" t="str">
        <f>'WRA Worksheet'!C34</f>
        <v>n</v>
      </c>
      <c r="D34" s="82">
        <f>'WRA Worksheet'!D34</f>
        <v>-1</v>
      </c>
    </row>
    <row r="35" spans="1:4" ht="16" x14ac:dyDescent="0.2">
      <c r="A35" s="74">
        <v>6.04</v>
      </c>
      <c r="B35" s="75" t="s">
        <v>40</v>
      </c>
      <c r="C35" s="76" t="str">
        <f>'WRA Worksheet'!C35</f>
        <v>n</v>
      </c>
      <c r="D35" s="82">
        <f>'WRA Worksheet'!D35</f>
        <v>-1</v>
      </c>
    </row>
    <row r="36" spans="1:4" ht="16" x14ac:dyDescent="0.2">
      <c r="A36" s="74">
        <v>6.05</v>
      </c>
      <c r="B36" s="75" t="s">
        <v>41</v>
      </c>
      <c r="C36" s="76" t="str">
        <f>'WRA Worksheet'!C36</f>
        <v>n</v>
      </c>
      <c r="D36" s="82">
        <f>'WRA Worksheet'!D36</f>
        <v>0</v>
      </c>
    </row>
    <row r="37" spans="1:4" ht="16" x14ac:dyDescent="0.2">
      <c r="A37" s="74">
        <v>6.06</v>
      </c>
      <c r="B37" s="75" t="s">
        <v>42</v>
      </c>
      <c r="C37" s="76" t="str">
        <f>'WRA Worksheet'!C37</f>
        <v>y</v>
      </c>
      <c r="D37" s="82">
        <f>'WRA Worksheet'!D37</f>
        <v>1</v>
      </c>
    </row>
    <row r="38" spans="1:4" ht="16" x14ac:dyDescent="0.2">
      <c r="A38" s="74">
        <v>6.07</v>
      </c>
      <c r="B38" s="75" t="s">
        <v>43</v>
      </c>
      <c r="C38" s="81" t="str">
        <f>'WRA Worksheet'!C38</f>
        <v>1 or fewer</v>
      </c>
      <c r="D38" s="82">
        <f>'WRA Worksheet'!D38</f>
        <v>1</v>
      </c>
    </row>
    <row r="39" spans="1:4" ht="32" x14ac:dyDescent="0.2">
      <c r="A39" s="74">
        <v>7.01</v>
      </c>
      <c r="B39" s="75" t="s">
        <v>44</v>
      </c>
      <c r="C39" s="76" t="str">
        <f>'WRA Worksheet'!C39</f>
        <v>y</v>
      </c>
      <c r="D39" s="82">
        <f>'WRA Worksheet'!D39</f>
        <v>1</v>
      </c>
    </row>
    <row r="40" spans="1:4" ht="16" x14ac:dyDescent="0.2">
      <c r="A40" s="74">
        <v>7.02</v>
      </c>
      <c r="B40" s="75" t="s">
        <v>45</v>
      </c>
      <c r="C40" s="76" t="str">
        <f>'WRA Worksheet'!C40</f>
        <v>n</v>
      </c>
      <c r="D40" s="82">
        <f>'WRA Worksheet'!D40</f>
        <v>-1</v>
      </c>
    </row>
    <row r="41" spans="1:4" ht="16" x14ac:dyDescent="0.2">
      <c r="A41" s="74">
        <v>7.03</v>
      </c>
      <c r="B41" s="75" t="s">
        <v>46</v>
      </c>
      <c r="C41" s="76" t="str">
        <f>'WRA Worksheet'!C41</f>
        <v>?</v>
      </c>
      <c r="D41" s="82" t="str">
        <f>'WRA Worksheet'!D41</f>
        <v xml:space="preserve"> </v>
      </c>
    </row>
    <row r="42" spans="1:4" ht="16" x14ac:dyDescent="0.2">
      <c r="A42" s="74">
        <v>7.04</v>
      </c>
      <c r="B42" s="75" t="s">
        <v>47</v>
      </c>
      <c r="C42" s="76" t="str">
        <f>'WRA Worksheet'!C42</f>
        <v>n</v>
      </c>
      <c r="D42" s="82">
        <f>'WRA Worksheet'!D42</f>
        <v>-1</v>
      </c>
    </row>
    <row r="43" spans="1:4" ht="16" x14ac:dyDescent="0.2">
      <c r="A43" s="74">
        <v>7.05</v>
      </c>
      <c r="B43" s="75" t="s">
        <v>48</v>
      </c>
      <c r="C43" s="76" t="str">
        <f>'WRA Worksheet'!C43</f>
        <v>n</v>
      </c>
      <c r="D43" s="82">
        <f>'WRA Worksheet'!D43</f>
        <v>-1</v>
      </c>
    </row>
    <row r="44" spans="1:4" ht="16" x14ac:dyDescent="0.2">
      <c r="A44" s="74">
        <v>7.06</v>
      </c>
      <c r="B44" s="75" t="s">
        <v>49</v>
      </c>
      <c r="C44" s="76" t="str">
        <f>'WRA Worksheet'!C44</f>
        <v>y</v>
      </c>
      <c r="D44" s="82">
        <f>'WRA Worksheet'!D44</f>
        <v>1</v>
      </c>
    </row>
    <row r="45" spans="1:4" ht="16" x14ac:dyDescent="0.2">
      <c r="A45" s="74">
        <v>7.07</v>
      </c>
      <c r="B45" s="75" t="s">
        <v>50</v>
      </c>
      <c r="C45" s="76" t="str">
        <f>'WRA Worksheet'!C45</f>
        <v>y</v>
      </c>
      <c r="D45" s="82">
        <f>'WRA Worksheet'!D45</f>
        <v>1</v>
      </c>
    </row>
    <row r="46" spans="1:4" ht="16" x14ac:dyDescent="0.2">
      <c r="A46" s="74">
        <v>7.08</v>
      </c>
      <c r="B46" s="75" t="s">
        <v>51</v>
      </c>
      <c r="C46" s="76" t="str">
        <f>'WRA Worksheet'!C46</f>
        <v>y</v>
      </c>
      <c r="D46" s="82">
        <f>'WRA Worksheet'!D46</f>
        <v>1</v>
      </c>
    </row>
    <row r="47" spans="1:4" ht="16" x14ac:dyDescent="0.2">
      <c r="A47" s="74">
        <v>8.01</v>
      </c>
      <c r="B47" s="75" t="s">
        <v>52</v>
      </c>
      <c r="C47" s="76" t="str">
        <f>'WRA Worksheet'!C47</f>
        <v>n</v>
      </c>
      <c r="D47" s="82">
        <f>'WRA Worksheet'!D47</f>
        <v>-1</v>
      </c>
    </row>
    <row r="48" spans="1:4" ht="16" x14ac:dyDescent="0.2">
      <c r="A48" s="74">
        <v>8.02</v>
      </c>
      <c r="B48" s="75" t="s">
        <v>53</v>
      </c>
      <c r="C48" s="76" t="str">
        <f>'WRA Worksheet'!C48</f>
        <v>?</v>
      </c>
      <c r="D48" s="82" t="str">
        <f>'WRA Worksheet'!D48</f>
        <v xml:space="preserve"> </v>
      </c>
    </row>
    <row r="49" spans="1:4" ht="16" x14ac:dyDescent="0.2">
      <c r="A49" s="74">
        <v>8.0299999999999994</v>
      </c>
      <c r="B49" s="75" t="s">
        <v>54</v>
      </c>
      <c r="C49" s="76" t="str">
        <f>'WRA Worksheet'!C49</f>
        <v>?</v>
      </c>
      <c r="D49" s="82" t="str">
        <f>'WRA Worksheet'!D49</f>
        <v xml:space="preserve"> </v>
      </c>
    </row>
    <row r="50" spans="1:4" ht="16" x14ac:dyDescent="0.2">
      <c r="A50" s="74">
        <v>8.0399999999999991</v>
      </c>
      <c r="B50" s="75" t="s">
        <v>55</v>
      </c>
      <c r="C50" s="76" t="str">
        <f>'WRA Worksheet'!C50</f>
        <v>n</v>
      </c>
      <c r="D50" s="82">
        <f>'WRA Worksheet'!D50</f>
        <v>-1</v>
      </c>
    </row>
    <row r="51" spans="1:4" ht="16" x14ac:dyDescent="0.2">
      <c r="A51" s="74">
        <v>8.0500000000000007</v>
      </c>
      <c r="B51" s="67" t="s">
        <v>56</v>
      </c>
      <c r="C51" s="76" t="str">
        <f>'WRA Worksheet'!C51</f>
        <v>n</v>
      </c>
      <c r="D51" s="82">
        <f>'WRA Worksheet'!D51</f>
        <v>1</v>
      </c>
    </row>
    <row r="52" spans="1:4" ht="16" x14ac:dyDescent="0.2">
      <c r="A52" s="31"/>
      <c r="B52" s="32" t="s">
        <v>57</v>
      </c>
      <c r="C52" s="152">
        <f>'WRA Worksheet'!D53</f>
        <v>15</v>
      </c>
      <c r="D52" s="152"/>
    </row>
    <row r="53" spans="1:4" ht="16" x14ac:dyDescent="0.2">
      <c r="A53" s="33"/>
      <c r="B53" s="34" t="s">
        <v>109</v>
      </c>
      <c r="C53" s="152" t="str" cm="1">
        <f t="array" ref="C53">IF(OR('WRA Worksheet'!C71:D71="yes", 'WRA Worksheet'!C72:D72="yes", 'WRA Worksheet'!C73:D73="yes"),"yes","no")</f>
        <v>no</v>
      </c>
      <c r="D53" s="152"/>
    </row>
    <row r="54" spans="1:4" ht="16" x14ac:dyDescent="0.2">
      <c r="A54" s="33"/>
      <c r="B54" s="34" t="s">
        <v>110</v>
      </c>
      <c r="C54" s="152" t="str">
        <f>IF(C53="yes", 'WRA Worksheet'!C74, 'WRA Worksheet'!D54)</f>
        <v>reject</v>
      </c>
      <c r="D54" s="152"/>
    </row>
    <row r="55" spans="1:4" ht="16" thickBot="1" x14ac:dyDescent="0.25">
      <c r="A55" s="35"/>
      <c r="B55" s="36"/>
      <c r="C55" s="36"/>
      <c r="D55" s="37"/>
    </row>
    <row r="56" spans="1:4" ht="31" thickTop="1" x14ac:dyDescent="0.2">
      <c r="A56" s="38" t="s">
        <v>111</v>
      </c>
      <c r="B56" s="39" t="s">
        <v>112</v>
      </c>
      <c r="C56" s="40" t="s">
        <v>61</v>
      </c>
      <c r="D56" s="37"/>
    </row>
    <row r="57" spans="1:4" x14ac:dyDescent="0.2">
      <c r="A57" s="41" t="s">
        <v>62</v>
      </c>
      <c r="B57" s="42">
        <f>'WRA Worksheet'!C57</f>
        <v>11</v>
      </c>
      <c r="C57" s="43" t="str">
        <f>IF(B57&gt;=2,"yes","no")</f>
        <v>yes</v>
      </c>
      <c r="D57" s="37"/>
    </row>
    <row r="58" spans="1:4" x14ac:dyDescent="0.2">
      <c r="A58" s="41" t="s">
        <v>63</v>
      </c>
      <c r="B58" s="42">
        <f>'WRA Worksheet'!C58</f>
        <v>10</v>
      </c>
      <c r="C58" s="43" t="str">
        <f>IF(B58&gt;=2,"yes","no")</f>
        <v>yes</v>
      </c>
      <c r="D58" s="37"/>
    </row>
    <row r="59" spans="1:4" x14ac:dyDescent="0.2">
      <c r="A59" s="41" t="s">
        <v>64</v>
      </c>
      <c r="B59" s="42">
        <f>'WRA Worksheet'!C59</f>
        <v>20</v>
      </c>
      <c r="C59" s="43" t="str">
        <f>IF(B59&gt;=6,"yes","no")</f>
        <v>yes</v>
      </c>
      <c r="D59" s="37"/>
    </row>
    <row r="60" spans="1:4" ht="16" thickBot="1" x14ac:dyDescent="0.25">
      <c r="A60" s="44" t="s">
        <v>65</v>
      </c>
      <c r="B60" s="45">
        <f>'WRA Worksheet'!C60</f>
        <v>41</v>
      </c>
      <c r="C60" s="46" t="str">
        <f>IF(C57="no","no",IF(C58="no","no",IF(C59="no","no","yes")))</f>
        <v>yes</v>
      </c>
      <c r="D60" s="37"/>
    </row>
    <row r="61" spans="1:4" ht="16" thickTop="1" x14ac:dyDescent="0.2"/>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baseColWidth="10" defaultColWidth="8.83203125" defaultRowHeight="15" x14ac:dyDescent="0.2"/>
  <cols>
    <col min="1" max="1" width="5" customWidth="1"/>
    <col min="2" max="3" width="49.5" customWidth="1"/>
  </cols>
  <sheetData>
    <row r="1" spans="1:3" ht="28.5" customHeight="1" x14ac:dyDescent="0.2">
      <c r="A1" s="47"/>
      <c r="B1" s="48" t="s">
        <v>6</v>
      </c>
      <c r="C1" s="49" t="s">
        <v>7</v>
      </c>
    </row>
    <row r="2" spans="1:3" ht="64" x14ac:dyDescent="0.2">
      <c r="A2" s="30">
        <v>1.01</v>
      </c>
      <c r="B2" s="50" t="str" cm="1">
        <f t="array" ref="B2:C50">'WRA Worksheet'!F3:G51</f>
        <v>Native to temperate regions of South America. Introduced to parts of the continental USA (California) in early 1930's. No evidence that it has been subjected to extensive human selection.</v>
      </c>
      <c r="C2" s="51" t="str">
        <v>1. https://blogs.cdfa.ca.gov/Section3162/?p=3530#:~:text=Salpichroa%20origanifolia%20was%20introduced%20in,permanent%20rating%20for%20this%20pest.</v>
      </c>
    </row>
    <row r="3" spans="1:3" x14ac:dyDescent="0.2">
      <c r="A3" s="30">
        <v>1.02</v>
      </c>
      <c r="B3" s="50">
        <v>0</v>
      </c>
      <c r="C3" s="50">
        <v>0</v>
      </c>
    </row>
    <row r="4" spans="1:3" x14ac:dyDescent="0.2">
      <c r="A4" s="30">
        <v>1.03</v>
      </c>
      <c r="B4" s="50">
        <v>0</v>
      </c>
      <c r="C4" s="50">
        <v>0</v>
      </c>
    </row>
    <row r="5" spans="1:3" ht="16" x14ac:dyDescent="0.2">
      <c r="A5" s="30">
        <v>2.0099999999999998</v>
      </c>
      <c r="B5" s="52" t="str">
        <v>See attached climate suitability map.</v>
      </c>
      <c r="C5" s="53">
        <v>0</v>
      </c>
    </row>
    <row r="6" spans="1:3" ht="16" x14ac:dyDescent="0.2">
      <c r="A6" s="30">
        <v>2.02</v>
      </c>
      <c r="B6" s="53" t="str">
        <v>See attached climate suitability map.</v>
      </c>
      <c r="C6" s="54">
        <v>0</v>
      </c>
    </row>
    <row r="7" spans="1:3" ht="45" x14ac:dyDescent="0.2">
      <c r="A7" s="30">
        <v>2.0299999999999998</v>
      </c>
      <c r="B7" s="54" t="str">
        <v>Climate suitability modelling shows that species is well suited (with negligible uncertainty) for plant hardiness zones 8b to 12b and 11 Koppen Geiger Climate classes</v>
      </c>
      <c r="C7" s="53">
        <v>0</v>
      </c>
    </row>
    <row r="8" spans="1:3" ht="48" x14ac:dyDescent="0.2">
      <c r="A8" s="30">
        <v>2.04</v>
      </c>
      <c r="B8" s="51" t="str">
        <v>See attached climate suitability map. Suitability modeling shows that species is well suited (with negligible uncertainty) for annual precipitation up to 80 inches.</v>
      </c>
      <c r="C8" s="51">
        <v>0</v>
      </c>
    </row>
    <row r="9" spans="1:3" ht="64" x14ac:dyDescent="0.2">
      <c r="A9" s="30">
        <v>2.0499999999999998</v>
      </c>
      <c r="B9" s="51" t="str">
        <v>1. Naturalized in Europe, Africa, New Zealand, and Australia. 2. Commonly introduced to an area as ornamental plants. Becomes naturalized in the absence of control measures.</v>
      </c>
      <c r="C9" s="53" t="str">
        <v>1.https://blogs.cdfa.ca.gov/Section3162/?p=3530#:~:text=Salpichroa%20origanifolia%20was%20introduced%20in,permanent%20rating%20for%20this%20pest.   2. Espiroto-Santo et al. 2006</v>
      </c>
    </row>
    <row r="10" spans="1:3" ht="48" x14ac:dyDescent="0.2">
      <c r="A10" s="30">
        <v>3.01</v>
      </c>
      <c r="B10" s="51" t="str">
        <v>1. Naturalized in Europe, Africa, New Zealand, and Australia. 2. Considered invaisve in Australia.</v>
      </c>
      <c r="C10" s="53" t="str">
        <v>1.https://blogs.cdfa.ca.gov/Section3162/?p=3530#:~:text=Salpichroa%20origanifolia%20was%20introduced%20in,permanent%20rating%20for%20this%20pest.   2. Weber 2003</v>
      </c>
    </row>
    <row r="11" spans="1:3" ht="48" x14ac:dyDescent="0.2">
      <c r="A11" s="30">
        <v>3.02</v>
      </c>
      <c r="B11" s="50" t="str">
        <v>1. 2. Noted to be a weed of disturbed habitats, at roadsides, and along fences. 3. Identified as a weed in and near botanical gardens.</v>
      </c>
      <c r="C11" s="53" t="str">
        <v>1. Arduini and Alessandrini 2024.   2. Viegl and Cocchi 2023: DOI:10.13140/RG.2.2.24144.07680.    3. Espiroto-Santo et al. 2006</v>
      </c>
    </row>
    <row r="12" spans="1:3" ht="64" x14ac:dyDescent="0.2">
      <c r="A12" s="30">
        <v>3.03</v>
      </c>
      <c r="B12" s="50" t="str">
        <v>Species has no recorded impact on agriculture.</v>
      </c>
      <c r="C12" s="53" t="str">
        <v>1.https://blogs.cdfa.ca.gov/Section3162/?p=3530#:~:text=Salpichroa%20origanifolia%20was%20introduced%20in,permanent%20rating%20for%20this%20pest  2. https://weeds.org.au/profiles/pampas-lily-of/#prosection3</v>
      </c>
    </row>
    <row r="13" spans="1:3" ht="112" x14ac:dyDescent="0.2">
      <c r="A13" s="30">
        <v>3.04</v>
      </c>
      <c r="B13" s="51" t="str">
        <v xml:space="preserve">1. 2. Considered as a priority environmental weed is parts of Australia. 3. Known to impeded growth and regeneration of native shrubs and trees. </v>
      </c>
      <c r="C13" s="53" t="str">
        <v>1. https://keyserver.lucidcentral.org/weeds/data/media/Html/salpichroa_origanifolia.htm#:~:text=Pampas%20lily%2Dof%2Dthe%2Dvalley%20(Salpichroa%20origanifolia),one%20Natural%20Resource%20Management%20region.  2. https://www.cal-ipc.org/wp-content/uploads/2017/10/Salpichroa-origanifolia-California-_-PRE.html 3. Weber 2003</v>
      </c>
    </row>
    <row r="14" spans="1:3" ht="16" x14ac:dyDescent="0.2">
      <c r="A14" s="30">
        <v>3.05</v>
      </c>
      <c r="B14" s="51" t="str">
        <v>No evidence of other Salpichroa species being weedy</v>
      </c>
      <c r="C14" s="53">
        <v>0</v>
      </c>
    </row>
    <row r="15" spans="1:3" x14ac:dyDescent="0.2">
      <c r="A15" s="30">
        <v>4.01</v>
      </c>
      <c r="B15" s="50" t="str">
        <v>No evidence of the species having spines, thorns, or burrs</v>
      </c>
      <c r="C15" s="55">
        <v>0</v>
      </c>
    </row>
    <row r="16" spans="1:3" ht="16" x14ac:dyDescent="0.2">
      <c r="A16" s="30">
        <v>4.0199999999999996</v>
      </c>
      <c r="B16" s="51" t="str">
        <v>Not found to have any allelopathic effect on other plants</v>
      </c>
      <c r="C16" s="51" t="str">
        <v>1,. Arduini and Allesandrini 2024</v>
      </c>
    </row>
    <row r="17" spans="1:3" ht="16" x14ac:dyDescent="0.2">
      <c r="A17" s="30">
        <v>4.03</v>
      </c>
      <c r="B17" s="51" t="str">
        <v>No evidence of the species being parasitic</v>
      </c>
      <c r="C17" s="51">
        <v>0</v>
      </c>
    </row>
    <row r="18" spans="1:3" ht="32" x14ac:dyDescent="0.2">
      <c r="A18" s="30">
        <v>4.04</v>
      </c>
      <c r="B18" s="51" t="str">
        <v xml:space="preserve">No evidence that plant is unpalatable or palatable to grazing animals. </v>
      </c>
      <c r="C18" s="51">
        <v>0</v>
      </c>
    </row>
    <row r="19" spans="1:3" ht="80" x14ac:dyDescent="0.2">
      <c r="A19" s="30">
        <v>4.05</v>
      </c>
      <c r="B19" s="51" t="str">
        <v xml:space="preserve">1. 2. Many parts of the plant are considered toxic. 3. However, no animal losses have been reported yet due to plant consumption. </v>
      </c>
      <c r="C19" s="51" t="str">
        <v>1. Mongelli et al. 2000.    2. https://nre.tas.gov.au/invasive-species/weeds/weeds-index/declared-weeds-index/pampas-lily-of-the-valley 3. https://www.cal-ipc.org/wp-content/uploads/2017/10/Salpichroa-origanifolia-California-_-PRE.html</v>
      </c>
    </row>
    <row r="20" spans="1:3" ht="16" x14ac:dyDescent="0.2">
      <c r="A20" s="30">
        <v>4.0599999999999996</v>
      </c>
      <c r="B20" s="51" t="str">
        <v>No evidence of the species being host to pests and pathogens</v>
      </c>
      <c r="C20" s="51">
        <v>0</v>
      </c>
    </row>
    <row r="21" spans="1:3" ht="48" x14ac:dyDescent="0.2">
      <c r="A21" s="30">
        <v>4.07</v>
      </c>
      <c r="B21" s="51" t="str">
        <v>Many parts of the plant are considered toxic, containing alkaloids.</v>
      </c>
      <c r="C21" s="51" t="str">
        <v>1. Mongelli et al. 2000.    2. https://nre.tas.gov.au/invasive-species/weeds/weeds-index/declared-weeds-index/pampas-lily-of-the-valley</v>
      </c>
    </row>
    <row r="22" spans="1:3" ht="32" x14ac:dyDescent="0.2">
      <c r="A22" s="30">
        <v>4.08</v>
      </c>
      <c r="B22" s="51" t="str">
        <v>No evidence of the species supporting fire or its establishment</v>
      </c>
      <c r="C22" s="53" t="str">
        <v>1. https://www.cal-ipc.org/plants/risk/salpichroa-origanifolia-risk/</v>
      </c>
    </row>
    <row r="23" spans="1:3" ht="64" x14ac:dyDescent="0.2">
      <c r="A23" s="30">
        <v>4.09</v>
      </c>
      <c r="B23" s="51" t="str">
        <v>1. Known to be shade tolerant and can grow and adapt well in canopy shade conditions (90% sunlight reduction). 2. While partial sun is considered ideal, can tolerate full shade conditions.</v>
      </c>
      <c r="C23" s="51" t="str">
        <v>1. Arduini and Alessandrini 2024.  2. https://www.picturethisai.com/care/sunlight/Salpichroa_origanifolia.html</v>
      </c>
    </row>
    <row r="24" spans="1:3" ht="48" x14ac:dyDescent="0.2">
      <c r="A24" s="30">
        <v>4.0999999999999996</v>
      </c>
      <c r="B24" s="51" t="str">
        <v>1. Prefers loamy soil, but can be grown in soils with poor drainage or alkalinity. Not much information present regarding its ability to grow on infertile soils, however.</v>
      </c>
      <c r="C24" s="51" t="str">
        <v>1. https://www.picturethisai.com/faq-soil/Salpichroa-origanifolia.html</v>
      </c>
    </row>
    <row r="25" spans="1:3" ht="96" x14ac:dyDescent="0.2">
      <c r="A25" s="30">
        <v>4.1100000000000003</v>
      </c>
      <c r="B25" s="51" t="str">
        <v>Plant is a vine (family Solanaceae) and known to smother other plants.</v>
      </c>
      <c r="C25" s="51" t="str">
        <v>1. https://blogs.cdfa.ca.gov/Section3162/?p=3530#:~:text=Salpichroa%20origanifolia%20was%20introduced%20in,permanent%20rating%20for%20this%20pest.    2. https://nre.tas.gov.au/invasive-species/weeds/weeds-index/declared-weeds-index/pampas-lily-of-the-valley'</v>
      </c>
    </row>
    <row r="26" spans="1:3" ht="32" x14ac:dyDescent="0.2">
      <c r="A26" s="30">
        <v>4.12</v>
      </c>
      <c r="B26" s="51" t="str">
        <v>While it is known to create dense growths, no evidence that it creates thickets.</v>
      </c>
      <c r="C26" s="51">
        <v>0</v>
      </c>
    </row>
    <row r="27" spans="1:3" ht="16" x14ac:dyDescent="0.2">
      <c r="A27" s="30">
        <v>5.01</v>
      </c>
      <c r="B27" s="51" t="str">
        <v>Species is not aquatic</v>
      </c>
      <c r="C27" s="51">
        <v>0</v>
      </c>
    </row>
    <row r="28" spans="1:3" ht="16" x14ac:dyDescent="0.2">
      <c r="A28" s="30">
        <v>5.0199999999999996</v>
      </c>
      <c r="B28" s="51" t="str">
        <v>Species is a vine (family Solanaceae) , not a grass</v>
      </c>
      <c r="C28" s="51">
        <v>0</v>
      </c>
    </row>
    <row r="29" spans="1:3" ht="48" x14ac:dyDescent="0.2">
      <c r="A29" s="30">
        <v>5.03</v>
      </c>
      <c r="B29" s="51" t="str">
        <v>Does not possess any nitrogen-fixing symbionts</v>
      </c>
      <c r="C29" s="51" t="str">
        <v>1. https://floraveg.eu/taxon/overview/Salpichroa%20origanifolia</v>
      </c>
    </row>
    <row r="30" spans="1:3" ht="80" x14ac:dyDescent="0.2">
      <c r="A30" s="30">
        <v>5.04</v>
      </c>
      <c r="B30" s="51" t="str">
        <v>1. While it can reproduce vegetatively from creeping underground stems/rhizome, does not possess structures necessary to be a true geophyte</v>
      </c>
      <c r="C30" s="51" t="str">
        <v>1. https://keyserver.lucidcentral.org/weeds/data/media/Html/salpichroa_origanifolia.htm#:~:text=This%20species%20reproduces%20by%20seeds,and%20in%20dumped%20garden%20waste.</v>
      </c>
    </row>
    <row r="31" spans="1:3" x14ac:dyDescent="0.2">
      <c r="A31" s="30">
        <v>6.01</v>
      </c>
      <c r="B31" s="50" t="str">
        <v>No evidence of substantial reproductive failure</v>
      </c>
      <c r="C31" s="51">
        <v>0</v>
      </c>
    </row>
    <row r="32" spans="1:3" ht="48" x14ac:dyDescent="0.2">
      <c r="A32" s="30">
        <v>6.02</v>
      </c>
      <c r="B32" s="51" t="str">
        <v>1. Produces viable seeds from berries. 2. Plant known to spread through seeds.</v>
      </c>
      <c r="C32" s="51" t="str">
        <v>1.https://blogs.cdfa.ca.gov/Section3162/?p=3530#:~:text=Salpichroa%20origanifolia%20was%20introduced%20in,permanent%20rating%20for%20this%20pest. 2. Weber 2003</v>
      </c>
    </row>
    <row r="33" spans="1:3" ht="16" x14ac:dyDescent="0.2">
      <c r="A33" s="30">
        <v>6.03</v>
      </c>
      <c r="B33" s="51" t="str">
        <v>No evidence of species hybridizing naturally</v>
      </c>
      <c r="C33" s="51">
        <v>0</v>
      </c>
    </row>
    <row r="34" spans="1:3" ht="48" x14ac:dyDescent="0.2">
      <c r="A34" s="30">
        <v>6.04</v>
      </c>
      <c r="B34" s="51" t="str">
        <v xml:space="preserve">Species is usually hermaphroditic but no evidence that it is self-compatible. </v>
      </c>
      <c r="C34" s="51" t="str">
        <v>1. https://nwwildflowers.com/compare/?t=Salpichroa+origanifolia,+Solanaceae</v>
      </c>
    </row>
    <row r="35" spans="1:3" ht="32" x14ac:dyDescent="0.2">
      <c r="A35" s="30">
        <v>6.05</v>
      </c>
      <c r="B35" s="51" t="str">
        <v>No evidence that species requires specialist pollinators. Known to be pollinated readiily by bees.</v>
      </c>
      <c r="C35" s="51" t="str">
        <v>1. Bendifallah and Ortiz-Sanchez 2018</v>
      </c>
    </row>
    <row r="36" spans="1:3" ht="96" x14ac:dyDescent="0.2">
      <c r="A36" s="30">
        <v>6.06</v>
      </c>
      <c r="B36" s="51" t="str">
        <v>1. Known to reproduce vegetatively. 2. Can spread through root fragments and pieces of underground stems.</v>
      </c>
      <c r="C36" s="51" t="str">
        <v>1. https://keyserver.lucidcentral.org/weeds/data/media/Html/salpichroa_origanifolia.htm#:~:text=This%20species%20reproduces%20by%20seeds,and%20in%20dumped%20garden%20waste.    2. https://www.cal-ipc.org/plants/profile/salpichroa-origanifolia-profile/</v>
      </c>
    </row>
    <row r="37" spans="1:3" ht="32" x14ac:dyDescent="0.2">
      <c r="A37" s="30">
        <v>6.07</v>
      </c>
      <c r="B37" s="51" t="str">
        <v>Plant reaches sexual maturity in about 1 year</v>
      </c>
      <c r="C37" s="51" t="str">
        <v>1. https://invasoras.pt/en/invasive-plant/salpichroa-origanifolia-0</v>
      </c>
    </row>
    <row r="38" spans="1:3" ht="32" x14ac:dyDescent="0.2">
      <c r="A38" s="30">
        <v>7.01</v>
      </c>
      <c r="B38" s="51" t="str">
        <v>Propagules commonly dispersed unintentionally</v>
      </c>
      <c r="C38" s="51" t="str">
        <v>1. https://www.cal-ipc.org/plants/risk/salpichroa-origanifolia-risk/.   2. Arduini and Alesssandrini 2024</v>
      </c>
    </row>
    <row r="39" spans="1:3" ht="32" x14ac:dyDescent="0.2">
      <c r="A39" s="30">
        <v>7.02</v>
      </c>
      <c r="B39" s="51" t="str">
        <v>No evidence that this species is dispersed intentionally other than for ornamental reasons</v>
      </c>
      <c r="C39" s="51">
        <v>0</v>
      </c>
    </row>
    <row r="40" spans="1:3" ht="64" x14ac:dyDescent="0.2">
      <c r="A40" s="30">
        <v>7.03</v>
      </c>
      <c r="B40" s="50" t="str">
        <v xml:space="preserve">1. Known to be spread through contaminated soil. 2. Plant seeds dispersed via contaminated seeds and garden waste. </v>
      </c>
      <c r="C40" s="51" t="str">
        <v>1. https://www.cal-ipc.org/plants/risk/cytisus-proliferus-risk/. 2. https://www.cal-ipc.org/wp-content/uploads/2017/10/Salpichroa-origanifolia-California-_-PRE.html</v>
      </c>
    </row>
    <row r="41" spans="1:3" ht="16" x14ac:dyDescent="0.2">
      <c r="A41" s="30">
        <v>7.04</v>
      </c>
      <c r="B41" s="51" t="str">
        <v>Seeds are not adapted to wind dispersal</v>
      </c>
      <c r="C41" s="51">
        <v>0</v>
      </c>
    </row>
    <row r="42" spans="1:3" ht="16" x14ac:dyDescent="0.2">
      <c r="A42" s="30">
        <v>7.05</v>
      </c>
      <c r="B42" s="51" t="str">
        <v>Seeds are not adapted to water dispersal</v>
      </c>
      <c r="C42" s="51">
        <v>0</v>
      </c>
    </row>
    <row r="43" spans="1:3" ht="32" x14ac:dyDescent="0.2">
      <c r="A43" s="30">
        <v>7.06</v>
      </c>
      <c r="B43" s="51" t="str">
        <v>Seeds are known to be dispersed by birds</v>
      </c>
      <c r="C43" s="51" t="str">
        <v>1. https://weeds.dpi.nsw.gov.au/Weeds/PampasLilyOfTheValley</v>
      </c>
    </row>
    <row r="44" spans="1:3" ht="48" x14ac:dyDescent="0.2">
      <c r="A44" s="30">
        <v>7.07</v>
      </c>
      <c r="B44" s="51" t="str">
        <v xml:space="preserve">1. Seeds are surrounded by a sticky substance, so could stick to animals. </v>
      </c>
      <c r="C44" s="51" t="str">
        <v xml:space="preserve">1. https://keyserver.lucidcentral.org/weeds/data/media/Html/salpichroa_origanifolia.htm </v>
      </c>
    </row>
    <row r="45" spans="1:3" ht="80" x14ac:dyDescent="0.2">
      <c r="A45" s="30">
        <v>7.08</v>
      </c>
      <c r="B45" s="50" t="str">
        <v>1. Seeds can be eaten by other frugivorous animals. (Plant produces fruits). 2. Fruits known to be consumed by birds, rats, and mice. Not much work done on studying germination potential of seeds post ingestion, however.</v>
      </c>
      <c r="C45" s="51" t="str">
        <v>1. https://weeds.dpi.nsw.gov.au/Weeds/PampasLilyOfTheValley.  2. https://keyserver.lucidcentral.org/weeds/data/media/Html/salpichroa_origanifolia.htm</v>
      </c>
    </row>
    <row r="46" spans="1:3" ht="64" x14ac:dyDescent="0.2">
      <c r="A46" s="30">
        <v>8.01</v>
      </c>
      <c r="B46" s="50" t="str">
        <v>1. 2. Species can produce up to 100 berries per plant with up to 20 seeds. (~2000 seeds per individual) Is below the &gt;5000 for herbaceous taxa.</v>
      </c>
      <c r="C46" s="51" t="str">
        <v>1. https://www.cal-ipc.org/plants/risk/salpichroa-origanifolia-risk/ 2. https://www.mdpi.com/2223-7747/13/2/226#:~:text=Flowers%20are%20white%2C%20solitary%2C%20bell,dispersed%20by%20birds%20%5B59%5D.</v>
      </c>
    </row>
    <row r="47" spans="1:3" ht="48" x14ac:dyDescent="0.2">
      <c r="A47" s="30">
        <v>8.02</v>
      </c>
      <c r="B47" s="51" t="str">
        <v xml:space="preserve">Species is known to alter native seed banks, but little mention of how persistent the seeds are. Some mention of seeds being able to persist for a few months, but not more than a year </v>
      </c>
      <c r="C47" s="51" t="str">
        <v>1. Arduini and Alessandrini 2024.   2. https://www.cal-ipc.org/plants/risk/salpichroa-origanifolia-risk/</v>
      </c>
    </row>
    <row r="48" spans="1:3" ht="112" x14ac:dyDescent="0.2">
      <c r="A48" s="30">
        <v>8.0299999999999994</v>
      </c>
      <c r="B48" s="51" t="str">
        <v>Herbicide is recommended for control, but also noted as difficult to eradiacte completely without physically removing root structures.</v>
      </c>
      <c r="C48" s="51" t="str">
        <v>1. https://www.herbiguide.com.au/Descriptions/hg_Pampas_LilyoftheValley.htm.  2. https://www.nrc.govt.nz/environment/weed-and-pest-control/pest-control-hub/?pwsystem=true&amp;pwid=66#:~:text=Herbicide%20control,from%20roots%20and%20by%20seed.</v>
      </c>
    </row>
    <row r="49" spans="1:3" ht="16" x14ac:dyDescent="0.2">
      <c r="A49" s="30">
        <v>8.0399999999999991</v>
      </c>
      <c r="B49" s="51" t="str">
        <v>No evidence that species benefits from mutilation</v>
      </c>
      <c r="C49" s="51">
        <v>0</v>
      </c>
    </row>
    <row r="50" spans="1:3" x14ac:dyDescent="0.2">
      <c r="A50" s="30">
        <v>8.0500000000000007</v>
      </c>
      <c r="B50" s="50" t="str">
        <v>No evidence of effective natural enemies present in the USA</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6" ma:contentTypeDescription="Create a new document." ma:contentTypeScope="" ma:versionID="b0bb80d225c275d8cbc214fe25479caa">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92aa9d5f0ffbc745df48d8777f40dc0d"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Props1.xml><?xml version="1.0" encoding="utf-8"?>
<ds:datastoreItem xmlns:ds="http://schemas.openxmlformats.org/officeDocument/2006/customXml" ds:itemID="{426919C1-6C3F-4EE8-A334-47EF59B57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a967f-c9b6-4417-8b28-12bf5b07c60b"/>
    <ds:schemaRef ds:uri="898990d9-3832-423e-b64c-5c8524f18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2C3439-75BE-411A-8E6B-DF10E44BED25}">
  <ds:schemaRefs>
    <ds:schemaRef ds:uri="http://schemas.microsoft.com/sharepoint/v3/contenttype/forms"/>
  </ds:schemaRefs>
</ds:datastoreItem>
</file>

<file path=customXml/itemProps3.xml><?xml version="1.0" encoding="utf-8"?>
<ds:datastoreItem xmlns:ds="http://schemas.openxmlformats.org/officeDocument/2006/customXml" ds:itemID="{624714E1-6774-437D-801A-4B8EB940739E}">
  <ds:schemaRefs>
    <ds:schemaRef ds:uri="http://schemas.microsoft.com/office/2006/metadata/properties"/>
    <ds:schemaRef ds:uri="http://schemas.microsoft.com/office/infopath/2007/PartnerControls"/>
    <ds:schemaRef ds:uri="f21a967f-c9b6-4417-8b28-12bf5b07c60b"/>
    <ds:schemaRef ds:uri="898990d9-3832-423e-b64c-5c8524f186a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WRA Worksheet</vt:lpstr>
      <vt:lpstr>LUT</vt:lpstr>
      <vt:lpstr>PDF Template Scoresheet</vt:lpstr>
      <vt:lpstr>PDF Template Refs &amp;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2024-06-18T17:33:31Z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