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defaultThemeVersion="166925"/>
  <mc:AlternateContent xmlns:mc="http://schemas.openxmlformats.org/markup-compatibility/2006">
    <mc:Choice Requires="x15">
      <x15ac:absPath xmlns:x15ac="http://schemas.microsoft.com/office/spreadsheetml/2010/11/ac" url="/Users/seokminkim/Desktop/Assessments/"/>
    </mc:Choice>
  </mc:AlternateContent>
  <xr:revisionPtr revIDLastSave="183" documentId="13_ncr:1_{C116D94F-4D03-3B40-8287-B36BBAD89845}" xr6:coauthVersionLast="47" xr6:coauthVersionMax="47" xr10:uidLastSave="{84B6F5AC-E5C9-4743-87D2-DD077996A791}"/>
  <bookViews>
    <workbookView xWindow="1420" yWindow="76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D72" i="1"/>
  <c r="C53" i="3" s="1" a="1"/>
  <c r="C53" i="3" s="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C74" i="1" l="1"/>
  <c r="D59" i="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<sst xmlns="http://schemas.openxmlformats.org/spreadsheetml/2006/main" count="329" uniqueCount="159">
  <si>
    <t>Species:</t>
  </si>
  <si>
    <t>Causonis japonica (Cayratia japonica, Cissus japonica, Columella japonica, Vitis japonica) family: Vitaceae. Common name: Bushkiller - herbaceous vine</t>
  </si>
  <si>
    <r>
      <rPr>
        <sz val="11"/>
        <color rgb="FF000000"/>
        <rFont val="Calibri"/>
        <family val="2"/>
      </rPr>
      <t>Assessment date:</t>
    </r>
    <r>
      <rPr>
        <sz val="11"/>
        <color rgb="FFFF0000"/>
        <rFont val="Calibri"/>
        <family val="2"/>
      </rPr>
      <t xml:space="preserve"> </t>
    </r>
    <r>
      <rPr>
        <sz val="11"/>
        <color rgb="FF000000"/>
        <rFont val="Calibri"/>
        <family val="2"/>
      </rPr>
      <t xml:space="preserve"> Prepared by</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</si>
  <si>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</si>
  <si>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</si>
  <si>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</si>
  <si>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</si>
  <si>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</si>
  <si>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</si>
  <si>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</si>
  <si>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</si>
  <si>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</si>
  <si>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</si>
  <si>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</si>
  <si>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</si>
  <si>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</si>
  <si>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See climate suitability map</t>
  </si>
  <si>
    <t>Quality of climate match data (1-low; 2-intermediate; 3-high)</t>
  </si>
  <si>
    <t>Broad climate suitability (environmental versatility)</t>
  </si>
  <si>
    <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</si>
  <si>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</si>
  <si>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</si>
  <si>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Native to temperate/tropical Asia and Australia. Introduced to parts of the United States (1)</t>
  </si>
  <si>
    <t xml:space="preserve">[1] https://powo.science.kew.org/taxon/urn:lsid:ipni.org:names:60470155-2 [2] </t>
  </si>
  <si>
    <t>Naturalized beyond native range</t>
  </si>
  <si>
    <t>Naturalized in Alabama (1), Louisiana and other parts of SE USA (2) Considered invasive in North Carolina (3)</t>
  </si>
  <si>
    <t>[1] Hansen, C. J., &amp; Goertzen, L. R. (2006). Cayratia japonica (Vitaceae) naturalized in Alabama. Castanea, 71(3), 248-251. [2] https://floranorthamerica.org/Causonis_japonica [3] https://plants.ces.ncsu.edu/plants/causonis-japonica/</t>
  </si>
  <si>
    <t>Garden/amenity/disturbance weed</t>
  </si>
  <si>
    <t>"This plant prefers disturbed areas including harvested forests, fallow fields, overgrazed pastures, and residential areas. It also thrives in moist river bottoms and forest margins" (1) "Commonly found in disturbed sites, fringes of lowland and hilly dipterocarp forests and limestone vegetation areas." (2) "Bushkiller vine is probably one of the most despised weeds home gardeners and landscapers have to deal with on a continual basis in our area" (3)</t>
  </si>
  <si>
    <t>[1] https://galvbayinvasives.org/invasive/P-006 [2] https://www.nparks.gov.sg/florafaunaweb/flora/7/3/7389 [3] https://www.lsuagcenter.com/~/media/system/9/8/4/c/984c4a02648316b56f87e642cd0a84d3/june%202023pdf.pdf</t>
  </si>
  <si>
    <t>Weed of agriculture</t>
  </si>
  <si>
    <t>Environmental weed</t>
  </si>
  <si>
    <t>"The vine is invasive and out-competes native plants and stresses native trees by blocking sunlight and breaking branches due to its weight" (1). "The weight of the fleshy vines can break tree branches. Foliage can be dense and block out sunlight from plants it grows on. It can also compete for other resources, such as weater". (2) "Immediate impacts include the ability of C. japonica to kill the plant it grows upon, by stressing it with its weight, blocking out sunlight, or competing for other resources." (3) ""This plant prefers disturbed areas including harvested forests, fallow fields, overgrazed pastures, and residential areas. It also thrives in moist river bottoms and forest margins" (4)</t>
  </si>
  <si>
    <t>[1] https://plants.ces.ncsu.edu/plants/causonis-japonica/ [2] https://www.gri.msstate.edu/publications/docs/2009/10/6554bushkiller_IPAMS.pdf (3) https://www.invasive.org/weedcd/pdfs/bushkiller.pdf [4] https://galvbayinvasives.org/invasive/P-006</t>
  </si>
  <si>
    <t>Congeneric weed</t>
  </si>
  <si>
    <t>Causonis trifolia is a potential invasive (1) Causonis trifolia noted as being problematic in its native range in Sri Lanka. Descriptions match definition of weed "the most pressing concern is the spread of Causonis trifolia, as it causes a direct obstruction to the many water birds that reside in the park..." (2)</t>
  </si>
  <si>
    <t>[1] https://fsus.ncbg.unc.edu/main.php?pg=show-taxon-detail.php&amp;taxonid=68180 [2] https://mihidora.lk/project/habitatrestorationinkumananationalpark66b1aec57cb13</t>
  </si>
  <si>
    <t>Produces spines, thorns or burrs</t>
  </si>
  <si>
    <t>Allelopathic</t>
  </si>
  <si>
    <t>?</t>
  </si>
  <si>
    <t>No studies found</t>
  </si>
  <si>
    <t>Parasitic</t>
  </si>
  <si>
    <t>Unpalatable to grazing animals</t>
  </si>
  <si>
    <t>Not enough information found</t>
  </si>
  <si>
    <t>Toxic to animals</t>
  </si>
  <si>
    <t>Host for recognised pests and pathogens</t>
  </si>
  <si>
    <t>Causes allergies or is otherwise toxic to humans</t>
  </si>
  <si>
    <t>Creates a fire hazard in natural ecosystems</t>
  </si>
  <si>
    <t>Possible as it is a fast growing vine that can potentially serve as fire ladders (1). However, no direct evidence found.</t>
  </si>
  <si>
    <t>[1] https://texasinvasives.org/plant_database/detail.php?symbol=CAJA7</t>
  </si>
  <si>
    <t>Is a shade tolerant plant at some stage of its life cycle</t>
  </si>
  <si>
    <t>Described as tolerating shade (1). "Grows equally well in sun or shade" (2)</t>
  </si>
  <si>
    <t>[1] https://plants.ces.ncsu.edu/plants/causonis-japonica/ [2] https://www.lsuagcenter.com/~/media/system/9/8/4/c/984c4a02648316b56f87e642cd0a84d3/june%202023pdf.pdf</t>
  </si>
  <si>
    <t>Grows on infertile soils (oligotrophic, limerock, or excessively draining soils).  North &amp; Central Zones: infertile soils; South Zone: shallow limerock or Histisols.</t>
  </si>
  <si>
    <t>Can tolerate clay, loam, and sand soils with good drainage / moist conditions (1) . Prefers sandy soils.</t>
  </si>
  <si>
    <t>[1] https://plants.ces.ncsu.edu/plants/causonis-japonica/ [2] https://indiabiodiversity.org/group/hyderabad_birdrace_2013/observation/show/18536650</t>
  </si>
  <si>
    <t>Climbing or smothering growth habit</t>
  </si>
  <si>
    <t>Is a vine</t>
  </si>
  <si>
    <t>Forms dense thickets</t>
  </si>
  <si>
    <t>Possible as it is a fast growing vine. However, no mention of this taxon growing in a way that obstrcuts movement.</t>
  </si>
  <si>
    <t>Aquatic</t>
  </si>
  <si>
    <t>Grass</t>
  </si>
  <si>
    <t>Not of the Poaceae family</t>
  </si>
  <si>
    <t>Nitrogen fixing woody plant</t>
  </si>
  <si>
    <t>Geophyte</t>
  </si>
  <si>
    <t>Evidence of substantial reproductive failure in native habitat</t>
  </si>
  <si>
    <t>Produces viable seed</t>
  </si>
  <si>
    <t>Noted to not produce viable seeds in North Carolina, but seeds are present in its native range (1). Similar patern noted in Mississippi. "Despite an abundance of potential pollinators, bushkiller is apparently sterile. Normally bushkiller would produce a 2-4 seeded berry." (2)</t>
  </si>
  <si>
    <t>[1] https://plants.ces.ncsu.edu/plants/causonis-japonica/ [2] https://www.gri.msstate.edu/publications/docs/2009/10/6554bushkiller_IPAMS.pdf</t>
  </si>
  <si>
    <t>Hybridizes naturally</t>
  </si>
  <si>
    <t>Shown to hybridize within its genus. (1) However, not known to produce viable seeds outside of its native range (2)</t>
  </si>
  <si>
    <t>[1] Ishikawa, N., Ikeda, H., Yi, T. S., Takabe-Ito, E., Okada, H., &amp; Tsukaya, H. (2014). Lineage diversification and hybridization in the Cayratia japonica–Cayratia tenuifolia species complex. Molecular Phylogenetics and Evolution, 75, 227-238. [2] https://plants.ces.ncsu.edu/plants/causonis-japonica/</t>
  </si>
  <si>
    <t>Self-compatible or apomictic</t>
  </si>
  <si>
    <t>Requires specialist pollinators</t>
  </si>
  <si>
    <t>Reproduction by vegetative propagation</t>
  </si>
  <si>
    <t>"Spreads vegetatively by rhizomes and adventitious roots when the roots are cut or disturbed" (1) Root fragments noted to readily regenerate (2)</t>
  </si>
  <si>
    <t>[1] https://plants.ces.ncsu.edu/plants/causonis-japonica/ [2] West et al. 2012, Fragment size and planting depth affect the regenerative capacity of bushkiller (Cayratia japonica); https://www.cabi.org/isc/abstract/20133036405</t>
  </si>
  <si>
    <t>Minimum generative time (years)</t>
  </si>
  <si>
    <t>Propagules likely to be dispersed unintentionally (plants growing in heavily trafficked areas)</t>
  </si>
  <si>
    <t>Taxon disperses easily through fragments. Therefore, it could easily be moved around unintentionally. Sometimes confused as Virginia creeper (1)</t>
  </si>
  <si>
    <t>[1] https://plants.ces.ncsu.edu/plants/causonis-japonica/</t>
  </si>
  <si>
    <t>Propagules dispersed intentionally by people</t>
  </si>
  <si>
    <t>"It has also been known to be spread by humans collecting and growing it as an ornamental." (1) Sold online (2)</t>
  </si>
  <si>
    <t>[1] https://www.lsuagcenter.com/~/media/system/9/8/4/c/984c4a02648316b56f87e642cd0a84d3/june%202023pdf.pdf [2] https://silksareforever.com/products/36-causonis-japonica-silk-flower-stem-white-pack-of-12?srsltid=AfmBOoqlAXlUNlssxHlYIhtE_yUldKZd76ox568I5Sv8nysEd6wnla-m</t>
  </si>
  <si>
    <t>Propagules likely to disperse as a produce contaminant</t>
  </si>
  <si>
    <t>Possible as taxon disperses easily through fragments. However, not enough information found.</t>
  </si>
  <si>
    <t>Propagules adapted to wind dispersal</t>
  </si>
  <si>
    <t>Propagules water dispersed</t>
  </si>
  <si>
    <t>"It is thought that major weather wevents such as flooding and hurricanes are a major means of spreading..." (1)</t>
  </si>
  <si>
    <t>[1] https://www.lsuagcenter.com/~/media/system/9/8/4/c/984c4a02648316b56f87e642cd0a84d3/june%202023pdf.pdf</t>
  </si>
  <si>
    <t>Propagules bird dispersed</t>
  </si>
  <si>
    <t>Possible in its native range as fruits are typical of bird/animal endozoochoric dispersion. However, in the USA, fruits are not known to seed.</t>
  </si>
  <si>
    <t>Propagules dispersed by other animals (externally)</t>
  </si>
  <si>
    <t>Propagules dispersed by other animals (internally)</t>
  </si>
  <si>
    <t>Prolific seed production</t>
  </si>
  <si>
    <t xml:space="preserve">Produces a 2-4 seeded berry in its native range. (1) </t>
  </si>
  <si>
    <t>[1] https://www.gri.msstate.edu/publications/docs/2009/10/6554bushkiller_IPAMS.pdf</t>
  </si>
  <si>
    <t>Evidence that a persistent propagule bank is formed (&gt;1 yr)</t>
  </si>
  <si>
    <t>Well controlled by herbicides</t>
  </si>
  <si>
    <t>Shown to tolerate some herbicides in the field (1) Noted to be difficult to treat with herbicde. (2)</t>
  </si>
  <si>
    <t>[1] West AM, Richardson RJ, Gardner AP, Hoyle ST. Bushkiller (Cayratia
japonica) response to selected herbicides. Invasive Plant Sci Manag.
2011;4:73–7. [2] https://www.lsuagcenter.com/~/media/system/9/8/4/c/984c4a02648316b56f87e642cd0a84d3/june%202023pdf.pdf</t>
  </si>
  <si>
    <t>Tolerates, or benefits from, mutilation or cultivation</t>
  </si>
  <si>
    <t>"Spreads vegetatively by rhizomes and adventitious roots when the roots are cut or disturbed" (1) Root fragments readily regenerate (2)</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</si>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</sst>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1"/>
      <color rgb="FF000000"/>
      <name val="Calibri"/>
      <family val="2"/>
    </font>
    <font>
      <sz val="10"/>
      <color theme="1"/>
      <name val="Calibri"/>
      <family val="2"/>
    </font>
    <font>
      <sz val="11"/>
      <color rgb="FFFF0000"/>
      <name val="Calibri"/>
      <family val="2"/>
    </font>
    <font>
      <sz val="11"/>
      <color theme="1"/>
      <name val="Calibri"/>
      <family val="2"/>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6" fillId="6" borderId="0" xfId="0" applyFont="1" applyFill="1" applyProtection="1">
      <protection locked="0"/>
    </xf>
    <xf numFmtId="0" fontId="26" fillId="6" borderId="0" xfId="0" applyFont="1" applyFill="1" applyAlignment="1" applyProtection="1">
      <alignment wrapText="1"/>
      <protection locked="0"/>
    </xf>
    <xf numFmtId="0" fontId="28" fillId="0" borderId="0" xfId="0" applyFont="1" applyAlignment="1" applyProtection="1">
      <alignment wrapText="1"/>
      <protection locked="0"/>
    </xf>
    <xf numFmtId="0" fontId="29"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zoomScale="125" zoomScaleNormal="125" workbookViewId="0">
      <pane xSplit="1" topLeftCell="B1" activePane="topRight" state="frozen"/>
      <selection pane="topRight" activeCell="F36" sqref="F36"/>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c r="A1" s="27" t="s">
        <v>0</v>
      </c>
      <c r="B1" s="85" t="s">
        <v>1</v>
      </c>
      <c r="C1" s="56"/>
      <c r="D1" s="56"/>
      <c r="E1" s="57"/>
      <c r="F1" s="102" t="s">
        <v>2</v>
      </c>
      <c r="G1" s="56"/>
    </row>
    <row r="2" spans="1:8" s="17" customFormat="1" ht="30.75" customHeight="1">
      <c r="A2" s="18" t="s">
        <v>3</v>
      </c>
      <c r="B2" s="18" t="s">
        <v>4</v>
      </c>
      <c r="C2" s="18" t="s">
        <v>5</v>
      </c>
      <c r="D2" s="18" t="s">
        <v>6</v>
      </c>
      <c r="E2" s="88" t="s">
        <v>7</v>
      </c>
      <c r="F2" s="18" t="s">
        <v>8</v>
      </c>
      <c r="G2" s="18" t="s">
        <v>9</v>
      </c>
      <c r="H2" s="103"/>
    </row>
    <row r="3" spans="1:8">
      <c r="A3" s="66">
        <v>1.01</v>
      </c>
      <c r="B3" s="67" t="s">
        <v>10</v>
      </c>
      <c r="C3" s="56" t="s">
        <v>11</v>
      </c>
      <c r="D3" s="59">
        <f>IF(C3="Y",-3,IF(C3="N",0," "))</f>
        <v>0</v>
      </c>
      <c r="E3" s="57"/>
      <c r="F3" s="99" t="s">
        <v>12</v>
      </c>
      <c r="G3" s="64"/>
    </row>
    <row r="4" spans="1:8" ht="15.95">
      <c r="A4" s="66">
        <v>1.02</v>
      </c>
      <c r="B4" s="67" t="s">
        <v>13</v>
      </c>
      <c r="C4" s="56"/>
      <c r="D4" s="59" t="str">
        <f>IF(C4="n",VLOOKUP(LUT!C5,LUT!C4:E52,2),IF(C4="y",VLOOKUP(LUT!C5,LUT!C4:E52,3)," "))</f>
        <v xml:space="preserve"> </v>
      </c>
      <c r="E4" s="57"/>
      <c r="F4" s="64"/>
      <c r="G4" s="64"/>
    </row>
    <row r="5" spans="1:8" ht="15.95">
      <c r="A5" s="66">
        <v>1.03</v>
      </c>
      <c r="B5" s="67" t="s">
        <v>14</v>
      </c>
      <c r="C5" s="56"/>
      <c r="D5" s="59" t="str">
        <f>IF(C5="Y",1,IF(C5="N",-1," "))</f>
        <v xml:space="preserve"> </v>
      </c>
      <c r="E5" s="57"/>
      <c r="F5" s="64"/>
      <c r="G5" s="64"/>
    </row>
    <row r="6" spans="1:8" ht="76.5">
      <c r="A6" s="66">
        <v>2.0099999999999998</v>
      </c>
      <c r="B6" s="67" t="s">
        <v>15</v>
      </c>
      <c r="C6" s="56">
        <v>3</v>
      </c>
      <c r="D6" s="60"/>
      <c r="E6" s="57"/>
      <c r="F6" s="99" t="s">
        <v>16</v>
      </c>
      <c r="G6" s="64"/>
    </row>
    <row r="7" spans="1:8" ht="30.75">
      <c r="A7" s="66">
        <v>2.02</v>
      </c>
      <c r="B7" s="67" t="s">
        <v>17</v>
      </c>
      <c r="C7" s="56">
        <v>3</v>
      </c>
      <c r="D7" s="60"/>
      <c r="E7" s="57"/>
      <c r="F7" s="99" t="s">
        <v>16</v>
      </c>
      <c r="G7" s="64"/>
    </row>
    <row r="8" spans="1:8">
      <c r="A8" s="66">
        <v>2.0299999999999998</v>
      </c>
      <c r="B8" s="67" t="s">
        <v>18</v>
      </c>
      <c r="C8" s="56" t="s">
        <v>19</v>
      </c>
      <c r="D8" s="59">
        <f>IF(C8="y",1,IF(C8="n",0," "))</f>
        <v>1</v>
      </c>
      <c r="E8" s="57"/>
      <c r="F8" s="99" t="s">
        <v>16</v>
      </c>
      <c r="G8" s="99"/>
    </row>
    <row r="9" spans="1:8" ht="121.5">
      <c r="A9" s="66">
        <v>2.04</v>
      </c>
      <c r="B9" s="67" t="s">
        <v>20</v>
      </c>
      <c r="C9" s="56" t="s">
        <v>19</v>
      </c>
      <c r="D9" s="59">
        <f>IF(C9="y",1,IF(C9="n",0," "))</f>
        <v>1</v>
      </c>
      <c r="E9" s="57"/>
      <c r="F9" s="99" t="s">
        <v>16</v>
      </c>
      <c r="G9" s="99"/>
    </row>
    <row r="10" spans="1:8" ht="30.75">
      <c r="A10" s="66">
        <v>2.0499999999999998</v>
      </c>
      <c r="B10" s="67" t="s">
        <v>21</v>
      </c>
      <c r="C10" s="56" t="s">
        <v>19</v>
      </c>
      <c r="D10" s="60"/>
      <c r="E10" s="57"/>
      <c r="F10" s="58" t="s">
        <v>22</v>
      </c>
      <c r="G10" s="58" t="s">
        <v>23</v>
      </c>
    </row>
    <row r="11" spans="1:8">
      <c r="A11" s="66">
        <v>3.01</v>
      </c>
      <c r="B11" s="67" t="s">
        <v>24</v>
      </c>
      <c r="C11" s="56" t="s">
        <v>19</v>
      </c>
      <c r="D11" s="59">
        <f>IF(C11="n",LOOKUP($C$10,LUT!$I$13:$L$13,LUT!$I$14:$L$14),IF(AND(C11="y",AND($C$6=1,$C$7=1)),2,IF(AND(C11="y",AND($C$6=1,$C$7=2)),1,IF(AND(C11="y",AND($C$6=1,$C$7=3)),1,IF(AND(C11="y",AND($C$6=2,$C$7=1)),2,IF(AND(C11="y",AND($C$6=2,$C$7=2)),2,IF(AND(C11="y",AND($C$6=2,$C$7=3)),1,IF(AND(C11="y",AND($C$6=3,$C$7=1)),2,IF(AND(C11="y",AND($C$6=3,$C$7=2)),2,IF(AND(C11="y",AND($C$6=3,$C$7=3)),2,""))))))))))</f>
        <v>2</v>
      </c>
      <c r="E11" s="57"/>
      <c r="F11" s="58" t="s">
        <v>25</v>
      </c>
      <c r="G11" s="58" t="s">
        <v>26</v>
      </c>
    </row>
    <row r="12" spans="1:8" ht="91.5">
      <c r="A12" s="66">
        <v>3.02</v>
      </c>
      <c r="B12" s="67" t="s">
        <v>27</v>
      </c>
      <c r="C12" s="56" t="s">
        <v>19</v>
      </c>
      <c r="D12" s="59">
        <f>IF(C12="n",LOOKUP($C$10,LUT!$I$13:$L$13,LUT!$I$15:$L$15),IF(AND(C12="y",AND($C$6=1,$C$7=1)),2,IF(AND(C12="y",AND($C$6=1,$C$7=2)),1,IF(AND(C12="y",AND($C$6=1,$C$7=3)),1,IF(AND(C12="y",AND($C$6=2,$C$7=1)),2,IF(AND(C12="y",AND($C$6=2,$C$7=2)),2,IF(AND(C12="y",AND($C$6=2,$C$7=3)),1,IF(AND(C12="y",AND($C$6=3,$C$7=1)),2,IF(AND(C12="y",AND($C$6=3,$C$7=2)),2,IF(AND(C12="y",AND($C$6=3,$C$7=3)),2,""))))))))))</f>
        <v>2</v>
      </c>
      <c r="E12" s="57"/>
      <c r="F12" s="101" t="s">
        <v>28</v>
      </c>
      <c r="G12" s="56" t="s">
        <v>29</v>
      </c>
    </row>
    <row r="13" spans="1:8">
      <c r="A13" s="66">
        <v>3.03</v>
      </c>
      <c r="B13" s="67" t="s">
        <v>30</v>
      </c>
      <c r="C13" s="56" t="s">
        <v>11</v>
      </c>
      <c r="D13" s="59">
        <f>IF(C13="n",LOOKUP($C$10,LUT!$I$13:$L$13,LUT!$I$15:$L$15),IF(AND(C13="y",AND($C$6=1,$C$7=1)),4,IF(AND(C13="y",AND($C$6=1,$C$7=2)),2,IF(AND(C13="y",AND($C$6=1,$C$7=3)),1,IF(AND(C13="y",AND($C$6=2,$C$7=1)),4,IF(AND(C13="y",AND($C$6=2,$C$7=2)),3,IF(AND(C13="y",AND($C$6=2,$C$7=3)),2,IF(AND(C13="y",AND($C$6=3,$C$7=1)),4,IF(AND(C13="y",AND($C$6=3,$C$7=2)),4,IF(AND(C13="y",AND($C$6=3,$C$7=3)),4,""))))))))))</f>
        <v>0</v>
      </c>
      <c r="E13" s="57"/>
      <c r="F13" s="100" t="s">
        <v>12</v>
      </c>
      <c r="G13" s="64"/>
    </row>
    <row r="14" spans="1:8" ht="121.5">
      <c r="A14" s="66">
        <v>3.04</v>
      </c>
      <c r="B14" s="67" t="s">
        <v>31</v>
      </c>
      <c r="C14" s="56" t="s">
        <v>19</v>
      </c>
      <c r="D14" s="59">
        <f>IF(C14="n",LOOKUP($C$10,LUT!$I$13:$L$13,LUT!$I$15:$L$15),IF(AND(C14="y",AND($C$6=1,$C$7=1)),4,IF(AND(C14="y",AND($C$6=1,$C$7=2)),2,IF(AND(C14="y",AND($C$6=1,$C$7=3)),1,IF(AND(C14="y",AND($C$6=2,$C$7=1)),4,IF(AND(C14="y",AND($C$6=2,$C$7=2)),3,IF(AND(C14="y",AND($C$6=2,$C$7=3)),2,IF(AND(C14="y",AND($C$6=3,$C$7=1)),4,IF(AND(C14="y",AND($C$6=3,$C$7=2)),4,IF(AND(C14="y",AND($C$6=3,$C$7=3)),4,""))))))))))</f>
        <v>4</v>
      </c>
      <c r="E14" s="57"/>
      <c r="F14" s="101" t="s">
        <v>32</v>
      </c>
      <c r="G14" s="56" t="s">
        <v>33</v>
      </c>
    </row>
    <row r="15" spans="1:8" ht="76.5">
      <c r="A15" s="66">
        <v>3.05</v>
      </c>
      <c r="B15" s="67" t="s">
        <v>34</v>
      </c>
      <c r="C15" s="56" t="s">
        <v>19</v>
      </c>
      <c r="D15" s="59">
        <f>IF(C15="n",LOOKUP($C$10,LUT!$I$13:$L$13,LUT!$I$15:$L$15),IF(AND(C15="y",AND($C$6=1,$C$7=1)),2,IF(AND(C15="y",AND($C$6=1,$C$7=2)),1,IF(AND(C15="y",AND($C$6=1,$C$7=3)),1,IF(AND(C15="y",AND($C$6=2,$C$7=1)),2,IF(AND(C15="y",AND($C$6=2,$C$7=2)),2,IF(AND(C15="y",AND($C$6=2,$C$7=3)),1,IF(AND(C15="y",AND($C$6=3,$C$7=1)),2,IF(AND(C15="y",AND($C$6=3,$C$7=2)),2,IF(AND(C15="y",AND($C$6=3,$C$7=3)),2,""))))))))))</f>
        <v>2</v>
      </c>
      <c r="E15" s="57"/>
      <c r="F15" s="64" t="s">
        <v>35</v>
      </c>
      <c r="G15" s="64" t="s">
        <v>36</v>
      </c>
    </row>
    <row r="16" spans="1:8">
      <c r="A16" s="66">
        <v>4.01</v>
      </c>
      <c r="B16" s="67" t="s">
        <v>37</v>
      </c>
      <c r="C16" s="56" t="s">
        <v>11</v>
      </c>
      <c r="D16" s="59">
        <f>IF(C16="y",VLOOKUP(LUT!C17,LUT!$C$4:$E$52,3),IF(C16="n",VLOOKUP(LUT!C17,LUT!$C$4:$E$52,2)," "))</f>
        <v>0</v>
      </c>
      <c r="E16" s="57"/>
      <c r="F16" s="64" t="s">
        <v>12</v>
      </c>
      <c r="G16" s="64"/>
    </row>
    <row r="17" spans="1:7">
      <c r="A17" s="66">
        <v>4.0199999999999996</v>
      </c>
      <c r="B17" s="67" t="s">
        <v>38</v>
      </c>
      <c r="C17" s="56" t="s">
        <v>39</v>
      </c>
      <c r="D17" s="59" t="str">
        <f>IF(C17="y",VLOOKUP(LUT!C18,LUT!C4:E52,3),IF(C17="n",VLOOKUP(LUT!C18,LUT!C4:E52,2)," "))</f>
        <v xml:space="preserve"> </v>
      </c>
      <c r="E17" s="57"/>
      <c r="F17" s="64" t="s">
        <v>40</v>
      </c>
      <c r="G17" s="64"/>
    </row>
    <row r="18" spans="1:7">
      <c r="A18" s="66">
        <v>4.03</v>
      </c>
      <c r="B18" s="67" t="s">
        <v>41</v>
      </c>
      <c r="C18" s="56" t="s">
        <v>11</v>
      </c>
      <c r="D18" s="59">
        <f>IF(C18="y",VLOOKUP(LUT!C19,LUT!$C$4:$E$52,3),IF(C18="n",VLOOKUP(LUT!C19,LUT!$C$4:$E$52,2)," "))</f>
        <v>0</v>
      </c>
      <c r="E18" s="57"/>
      <c r="F18" s="64" t="s">
        <v>12</v>
      </c>
      <c r="G18" s="64"/>
    </row>
    <row r="19" spans="1:7">
      <c r="A19" s="66">
        <v>4.04</v>
      </c>
      <c r="B19" s="67" t="s">
        <v>42</v>
      </c>
      <c r="C19" s="56" t="s">
        <v>39</v>
      </c>
      <c r="D19" s="59" t="str">
        <f>IF(C19="y",VLOOKUP(LUT!C20,LUT!$C$4:$E$52,3),IF(C19="n",VLOOKUP(LUT!C20,LUT!$C$4:$E$52,2)," "))</f>
        <v xml:space="preserve"> </v>
      </c>
      <c r="E19" s="57"/>
      <c r="F19" s="64" t="s">
        <v>43</v>
      </c>
      <c r="G19" s="64"/>
    </row>
    <row r="20" spans="1:7">
      <c r="A20" s="66">
        <v>4.05</v>
      </c>
      <c r="B20" s="67" t="s">
        <v>44</v>
      </c>
      <c r="C20" s="56" t="s">
        <v>11</v>
      </c>
      <c r="D20" s="59">
        <f>IF(C20="y",VLOOKUP(LUT!C21,LUT!$C$4:$E$52,3),IF(C20="n",VLOOKUP(LUT!C21,LUT!$C$4:$E$52,2)," "))</f>
        <v>0</v>
      </c>
      <c r="E20" s="57"/>
      <c r="F20" s="64" t="s">
        <v>12</v>
      </c>
      <c r="G20" s="64"/>
    </row>
    <row r="21" spans="1:7">
      <c r="A21" s="66">
        <v>4.0599999999999996</v>
      </c>
      <c r="B21" s="67" t="s">
        <v>45</v>
      </c>
      <c r="C21" s="56" t="s">
        <v>39</v>
      </c>
      <c r="D21" s="59" t="str">
        <f>IF(C21="y",VLOOKUP(LUT!C22,LUT!$C$4:$E$52,3),IF(C21="n",VLOOKUP(LUT!C22,LUT!$C$4:$E$52,2)," "))</f>
        <v xml:space="preserve"> </v>
      </c>
      <c r="E21" s="57"/>
      <c r="F21" s="64" t="s">
        <v>43</v>
      </c>
      <c r="G21" s="64"/>
    </row>
    <row r="22" spans="1:7">
      <c r="A22" s="66">
        <v>4.07</v>
      </c>
      <c r="B22" s="67" t="s">
        <v>46</v>
      </c>
      <c r="C22" s="56" t="s">
        <v>11</v>
      </c>
      <c r="D22" s="59">
        <f>IF(C22="y",VLOOKUP(LUT!C23,LUT!$C$4:$E$52,3),IF(C22="n",VLOOKUP(LUT!C23,LUT!$C$4:$E$52,2)," "))</f>
        <v>0</v>
      </c>
      <c r="E22" s="57"/>
      <c r="F22" s="64" t="s">
        <v>12</v>
      </c>
      <c r="G22" s="64"/>
    </row>
    <row r="23" spans="1:7">
      <c r="A23" s="66">
        <v>4.08</v>
      </c>
      <c r="B23" s="67" t="s">
        <v>47</v>
      </c>
      <c r="C23" s="56" t="s">
        <v>39</v>
      </c>
      <c r="D23" s="59" t="str">
        <f>IF(C23="y",VLOOKUP(LUT!C24,LUT!$C$4:$E$52,3),IF(C23="n",VLOOKUP(LUT!C24,LUT!$C$4:$E$52,2)," "))</f>
        <v xml:space="preserve"> </v>
      </c>
      <c r="E23" s="57"/>
      <c r="F23" s="58" t="s">
        <v>48</v>
      </c>
      <c r="G23" s="58" t="s">
        <v>49</v>
      </c>
    </row>
    <row r="24" spans="1:7" ht="76.5">
      <c r="A24" s="66">
        <v>4.09</v>
      </c>
      <c r="B24" s="67" t="s">
        <v>50</v>
      </c>
      <c r="C24" s="56" t="s">
        <v>19</v>
      </c>
      <c r="D24" s="59">
        <f>IF(C24="y",VLOOKUP(LUT!C25,LUT!$C$4:$E$52,3),IF(C24="n",VLOOKUP(LUT!C25,LUT!$C$4:$E$52,2)," "))</f>
        <v>1</v>
      </c>
      <c r="E24" s="57"/>
      <c r="F24" s="64" t="s">
        <v>51</v>
      </c>
      <c r="G24" s="64" t="s">
        <v>52</v>
      </c>
    </row>
    <row r="25" spans="1:7" ht="60.75">
      <c r="A25" s="66">
        <v>4.0999999999999996</v>
      </c>
      <c r="B25" s="68" t="s">
        <v>53</v>
      </c>
      <c r="C25" s="56" t="s">
        <v>19</v>
      </c>
      <c r="D25" s="59">
        <f>IF(C25="y",VLOOKUP(LUT!C26,LUT!$C$4:$E$52,3),IF(C25="n",VLOOKUP(LUT!C26,LUT!$C$4:$E$52,2)," "))</f>
        <v>1</v>
      </c>
      <c r="E25" s="57"/>
      <c r="F25" s="64" t="s">
        <v>54</v>
      </c>
      <c r="G25" s="64" t="s">
        <v>55</v>
      </c>
    </row>
    <row r="26" spans="1:7">
      <c r="A26" s="66">
        <v>4.1100000000000003</v>
      </c>
      <c r="B26" s="67" t="s">
        <v>56</v>
      </c>
      <c r="C26" s="56" t="s">
        <v>19</v>
      </c>
      <c r="D26" s="59">
        <f>IF(C26="y",VLOOKUP(LUT!C27,LUT!$C$4:$E$52,3),IF(C26="n",VLOOKUP(LUT!C27,LUT!$C$4:$E$52,2)," "))</f>
        <v>1</v>
      </c>
      <c r="E26" s="57"/>
      <c r="F26" s="64" t="s">
        <v>57</v>
      </c>
      <c r="G26" s="64"/>
    </row>
    <row r="27" spans="1:7" ht="30.75">
      <c r="A27" s="66">
        <v>4.12</v>
      </c>
      <c r="B27" s="67" t="s">
        <v>58</v>
      </c>
      <c r="C27" s="56" t="s">
        <v>39</v>
      </c>
      <c r="D27" s="59" t="str">
        <f>IF(C27="y",VLOOKUP(LUT!C28,LUT!$C$4:$E$52,3),IF(C27="n",VLOOKUP(LUT!C28,LUT!$C$4:$E$52,2)," "))</f>
        <v xml:space="preserve"> </v>
      </c>
      <c r="E27" s="57"/>
      <c r="F27" s="64" t="s">
        <v>59</v>
      </c>
      <c r="G27" s="64"/>
    </row>
    <row r="28" spans="1:7">
      <c r="A28" s="66">
        <v>5.01</v>
      </c>
      <c r="B28" s="67" t="s">
        <v>60</v>
      </c>
      <c r="C28" s="56" t="s">
        <v>11</v>
      </c>
      <c r="D28" s="59">
        <f>IF(C28="y",VLOOKUP(LUT!C29,LUT!$C$4:$E$52,3),IF(C28="n",VLOOKUP(LUT!C29,LUT!$C$4:$E$52,2)," "))</f>
        <v>0</v>
      </c>
      <c r="E28" s="57"/>
      <c r="F28" s="64" t="s">
        <v>12</v>
      </c>
      <c r="G28" s="64"/>
    </row>
    <row r="29" spans="1:7">
      <c r="A29" s="66">
        <v>5.0199999999999996</v>
      </c>
      <c r="B29" s="67" t="s">
        <v>61</v>
      </c>
      <c r="C29" s="56" t="s">
        <v>11</v>
      </c>
      <c r="D29" s="59">
        <f>IF(C29="y",VLOOKUP(LUT!C30,LUT!$C$4:$E$52,3),IF(C29="n",VLOOKUP(LUT!C30,LUT!$C$4:$E$52,2)," "))</f>
        <v>0</v>
      </c>
      <c r="E29" s="57"/>
      <c r="F29" s="64" t="s">
        <v>62</v>
      </c>
      <c r="G29" s="64"/>
    </row>
    <row r="30" spans="1:7">
      <c r="A30" s="66">
        <v>5.03</v>
      </c>
      <c r="B30" s="67" t="s">
        <v>63</v>
      </c>
      <c r="C30" s="56" t="s">
        <v>11</v>
      </c>
      <c r="D30" s="59">
        <f>IF(C30="y",VLOOKUP(LUT!C31,LUT!$C$4:$E$52,3),IF(C30="n",VLOOKUP(LUT!C31,LUT!$C$4:$E$52,2)," "))</f>
        <v>0</v>
      </c>
      <c r="E30" s="57"/>
      <c r="F30" s="64" t="s">
        <v>12</v>
      </c>
      <c r="G30" s="64"/>
    </row>
    <row r="31" spans="1:7">
      <c r="A31" s="66">
        <v>5.04</v>
      </c>
      <c r="B31" s="67" t="s">
        <v>64</v>
      </c>
      <c r="C31" s="56" t="s">
        <v>11</v>
      </c>
      <c r="D31" s="59">
        <f>IF(C31="y",VLOOKUP(LUT!C32,LUT!$C$4:$E$52,3),IF(C31="n",VLOOKUP(LUT!C32,LUT!$C$4:$E$52,2)," "))</f>
        <v>0</v>
      </c>
      <c r="E31" s="57"/>
      <c r="F31" s="64" t="s">
        <v>12</v>
      </c>
      <c r="G31" s="64"/>
    </row>
    <row r="32" spans="1:7" ht="30.75">
      <c r="A32" s="66">
        <v>6.01</v>
      </c>
      <c r="B32" s="67" t="s">
        <v>65</v>
      </c>
      <c r="C32" s="56" t="s">
        <v>11</v>
      </c>
      <c r="D32" s="59">
        <f>IF(C32="y",VLOOKUP(LUT!C33,LUT!$C$4:$E$52,3),IF(C32="n",VLOOKUP(LUT!C33,LUT!$C$4:$E$52,2)," "))</f>
        <v>0</v>
      </c>
      <c r="E32" s="57"/>
      <c r="F32" s="64" t="s">
        <v>12</v>
      </c>
      <c r="G32" s="64"/>
    </row>
    <row r="33" spans="1:7" ht="76.5">
      <c r="A33" s="66">
        <v>6.02</v>
      </c>
      <c r="B33" s="67" t="s">
        <v>66</v>
      </c>
      <c r="C33" s="56" t="s">
        <v>19</v>
      </c>
      <c r="D33" s="59">
        <f>IF(C33="y",VLOOKUP(LUT!C34,LUT!$C$4:$E$52,3),IF(C33="n",VLOOKUP(LUT!C34,LUT!$C$4:$E$52,2)," "))</f>
        <v>1</v>
      </c>
      <c r="E33" s="57"/>
      <c r="F33" s="64" t="s">
        <v>67</v>
      </c>
      <c r="G33" s="64" t="s">
        <v>68</v>
      </c>
    </row>
    <row r="34" spans="1:7" ht="106.5">
      <c r="A34" s="66">
        <v>6.03</v>
      </c>
      <c r="B34" s="67" t="s">
        <v>69</v>
      </c>
      <c r="C34" s="56" t="s">
        <v>39</v>
      </c>
      <c r="D34" s="59" t="str">
        <f>IF(C34="y",VLOOKUP(LUT!C35,LUT!$C$4:$E$52,3),IF(C34="n",VLOOKUP(LUT!C35,LUT!$C$4:$E$52,2)," "))</f>
        <v xml:space="preserve"> </v>
      </c>
      <c r="E34" s="57"/>
      <c r="F34" s="64" t="s">
        <v>70</v>
      </c>
      <c r="G34" s="64" t="s">
        <v>71</v>
      </c>
    </row>
    <row r="35" spans="1:7">
      <c r="A35" s="66">
        <v>6.04</v>
      </c>
      <c r="B35" s="67" t="s">
        <v>72</v>
      </c>
      <c r="C35" s="56" t="s">
        <v>39</v>
      </c>
      <c r="D35" s="59" t="str">
        <f>IF(C35="y",VLOOKUP(LUT!C36,LUT!$C$4:$E$52,3),IF(C35="n",VLOOKUP(LUT!C36,LUT!$C$4:$E$52,2)," "))</f>
        <v xml:space="preserve"> </v>
      </c>
      <c r="E35" s="57"/>
      <c r="F35" s="64" t="s">
        <v>43</v>
      </c>
      <c r="G35" s="64"/>
    </row>
    <row r="36" spans="1:7">
      <c r="A36" s="66">
        <v>6.05</v>
      </c>
      <c r="B36" s="67" t="s">
        <v>73</v>
      </c>
      <c r="C36" s="56" t="s">
        <v>11</v>
      </c>
      <c r="D36" s="59">
        <f>IF(C36="y",VLOOKUP(LUT!C37,LUT!$C$4:$E$52,3),IF(C36="n",VLOOKUP(LUT!C37,LUT!$C$4:$E$52,2)," "))</f>
        <v>0</v>
      </c>
      <c r="E36" s="57"/>
      <c r="F36" s="64" t="s">
        <v>12</v>
      </c>
      <c r="G36" s="64"/>
    </row>
    <row r="37" spans="1:7" ht="76.5">
      <c r="A37" s="66">
        <v>6.06</v>
      </c>
      <c r="B37" s="67" t="s">
        <v>74</v>
      </c>
      <c r="C37" s="56" t="s">
        <v>19</v>
      </c>
      <c r="D37" s="59">
        <f>IF(C37="y",VLOOKUP(LUT!C38,LUT!$C$4:$E$52,3),IF(C37="n",VLOOKUP(LUT!C38,LUT!$C$4:$E$52,2)," "))</f>
        <v>1</v>
      </c>
      <c r="E37" s="57"/>
      <c r="F37" s="64" t="s">
        <v>75</v>
      </c>
      <c r="G37" s="64" t="s">
        <v>76</v>
      </c>
    </row>
    <row r="38" spans="1:7">
      <c r="A38" s="66">
        <v>6.07</v>
      </c>
      <c r="B38" s="67" t="s">
        <v>77</v>
      </c>
      <c r="C38" s="84" t="s">
        <v>39</v>
      </c>
      <c r="D38" s="59" t="str">
        <f>IF(C38="1 or fewer",1,IF(C38="2 or 3",0,IF(C38&gt;="4 or more",-1," ")))</f>
        <v xml:space="preserve"> </v>
      </c>
      <c r="E38" s="57"/>
      <c r="F38" s="64" t="s">
        <v>43</v>
      </c>
      <c r="G38" s="64"/>
    </row>
    <row r="39" spans="1:7" ht="30.75">
      <c r="A39" s="66">
        <v>7.01</v>
      </c>
      <c r="B39" s="67" t="s">
        <v>78</v>
      </c>
      <c r="C39" s="56" t="s">
        <v>19</v>
      </c>
      <c r="D39" s="59">
        <f>IF(C39="y",VLOOKUP(LUT!C40,LUT!$C$4:$E$52,3),IF(C39="n",VLOOKUP(LUT!C40,LUT!$C$4:$E$52,2)," "))</f>
        <v>1</v>
      </c>
      <c r="E39" s="57"/>
      <c r="F39" s="101" t="s">
        <v>79</v>
      </c>
      <c r="G39" s="56" t="s">
        <v>80</v>
      </c>
    </row>
    <row r="40" spans="1:7" ht="121.5">
      <c r="A40" s="66">
        <v>7.02</v>
      </c>
      <c r="B40" s="67" t="s">
        <v>81</v>
      </c>
      <c r="C40" s="56" t="s">
        <v>19</v>
      </c>
      <c r="D40" s="59">
        <f>IF(C40="y",VLOOKUP(LUT!C41,LUT!$C$4:$E$52,3),IF(C40="n",VLOOKUP(LUT!C41,LUT!$C$4:$E$52,2)," "))</f>
        <v>1</v>
      </c>
      <c r="E40" s="57"/>
      <c r="F40" s="64" t="s">
        <v>82</v>
      </c>
      <c r="G40" s="64" t="s">
        <v>83</v>
      </c>
    </row>
    <row r="41" spans="1:7" ht="30.75">
      <c r="A41" s="66">
        <v>7.03</v>
      </c>
      <c r="B41" s="67" t="s">
        <v>84</v>
      </c>
      <c r="C41" s="56" t="s">
        <v>39</v>
      </c>
      <c r="D41" s="59" t="str">
        <f>IF(C41="y",VLOOKUP(LUT!C42,LUT!$C$4:$E$52,3),IF(C41="n",VLOOKUP(LUT!C42,LUT!$C$4:$E$52,2)," "))</f>
        <v xml:space="preserve"> </v>
      </c>
      <c r="E41" s="57"/>
      <c r="F41" s="64" t="s">
        <v>85</v>
      </c>
      <c r="G41" s="64"/>
    </row>
    <row r="42" spans="1:7">
      <c r="A42" s="66">
        <v>7.04</v>
      </c>
      <c r="B42" s="67" t="s">
        <v>86</v>
      </c>
      <c r="C42" s="56" t="s">
        <v>11</v>
      </c>
      <c r="D42" s="59">
        <f>IF(C42="y",VLOOKUP(LUT!C43,LUT!$C$4:$E$52,3),IF(C42="n",VLOOKUP(LUT!C43,LUT!$C$4:$E$52,2)," "))</f>
        <v>-1</v>
      </c>
      <c r="E42" s="57"/>
      <c r="F42" s="64" t="s">
        <v>12</v>
      </c>
      <c r="G42" s="64"/>
    </row>
    <row r="43" spans="1:7" ht="60.75">
      <c r="A43" s="66">
        <v>7.05</v>
      </c>
      <c r="B43" s="67" t="s">
        <v>87</v>
      </c>
      <c r="C43" s="56" t="s">
        <v>19</v>
      </c>
      <c r="D43" s="59">
        <f>IF(C43="y",VLOOKUP(LUT!C44,LUT!$C$4:$E$52,3),IF(C43="n",VLOOKUP(LUT!C44,LUT!$C$4:$E$52,2)," "))</f>
        <v>1</v>
      </c>
      <c r="E43" s="57"/>
      <c r="F43" s="64" t="s">
        <v>88</v>
      </c>
      <c r="G43" s="64" t="s">
        <v>89</v>
      </c>
    </row>
    <row r="44" spans="1:7" ht="60.75">
      <c r="A44" s="66">
        <v>7.06</v>
      </c>
      <c r="B44" s="67" t="s">
        <v>90</v>
      </c>
      <c r="C44" s="56" t="s">
        <v>39</v>
      </c>
      <c r="D44" s="59" t="str">
        <f>IF(C44="y",VLOOKUP(LUT!C45,LUT!$C$4:$E$52,3),IF(C44="n",VLOOKUP(LUT!C45,LUT!$C$4:$E$52,2)," "))</f>
        <v xml:space="preserve"> </v>
      </c>
      <c r="E44" s="57"/>
      <c r="F44" s="64" t="s">
        <v>91</v>
      </c>
      <c r="G44" s="64" t="s">
        <v>68</v>
      </c>
    </row>
    <row r="45" spans="1:7" ht="30.75">
      <c r="A45" s="66">
        <v>7.07</v>
      </c>
      <c r="B45" s="67" t="s">
        <v>92</v>
      </c>
      <c r="C45" s="56" t="s">
        <v>39</v>
      </c>
      <c r="D45" s="59" t="str">
        <f>IF(C45="y",VLOOKUP(LUT!C46,LUT!$C$4:$E$52,3),IF(C45="n",VLOOKUP(LUT!C46,LUT!$C$4:$E$52,2)," "))</f>
        <v xml:space="preserve"> </v>
      </c>
      <c r="E45" s="57"/>
      <c r="F45" s="64" t="s">
        <v>85</v>
      </c>
      <c r="G45" s="64"/>
    </row>
    <row r="46" spans="1:7" ht="60.75">
      <c r="A46" s="66">
        <v>7.08</v>
      </c>
      <c r="B46" s="67" t="s">
        <v>93</v>
      </c>
      <c r="C46" s="56" t="s">
        <v>39</v>
      </c>
      <c r="D46" s="59" t="str">
        <f>IF(C46="y",VLOOKUP(LUT!C47,LUT!$C$4:$E$52,3),IF(C46="n",VLOOKUP(LUT!C47,LUT!$C$4:$E$52,2)," "))</f>
        <v xml:space="preserve"> </v>
      </c>
      <c r="E46" s="57"/>
      <c r="F46" s="64" t="s">
        <v>91</v>
      </c>
      <c r="G46" s="64" t="s">
        <v>68</v>
      </c>
    </row>
    <row r="47" spans="1:7" ht="30.75">
      <c r="A47" s="66">
        <v>8.01</v>
      </c>
      <c r="B47" s="67" t="s">
        <v>94</v>
      </c>
      <c r="C47" s="56" t="s">
        <v>11</v>
      </c>
      <c r="D47" s="59">
        <f>IF(C47="y",VLOOKUP(LUT!C48,LUT!$C$4:$E$52,3),IF(C47="n",VLOOKUP(LUT!C48,LUT!$C$4:$E$52,2)," "))</f>
        <v>-1</v>
      </c>
      <c r="E47" s="57"/>
      <c r="F47" s="64" t="s">
        <v>95</v>
      </c>
      <c r="G47" s="64" t="s">
        <v>96</v>
      </c>
    </row>
    <row r="48" spans="1:7" ht="30.75">
      <c r="A48" s="66">
        <v>8.02</v>
      </c>
      <c r="B48" s="67" t="s">
        <v>97</v>
      </c>
      <c r="C48" s="56" t="s">
        <v>39</v>
      </c>
      <c r="D48" s="59" t="str">
        <f>IF(C48="y",VLOOKUP(LUT!C49,LUT!$C$4:$E$52,3),IF(C48="n",VLOOKUP(LUT!C49,LUT!$C$4:$E$52,2)," "))</f>
        <v xml:space="preserve"> </v>
      </c>
      <c r="E48" s="57"/>
      <c r="F48" s="64" t="s">
        <v>43</v>
      </c>
      <c r="G48" s="64"/>
    </row>
    <row r="49" spans="1:7" ht="121.5">
      <c r="A49" s="66">
        <v>8.0299999999999994</v>
      </c>
      <c r="B49" s="67" t="s">
        <v>98</v>
      </c>
      <c r="C49" s="56" t="s">
        <v>11</v>
      </c>
      <c r="D49" s="59">
        <f>IF(C49="y",VLOOKUP(LUT!C50,LUT!$C$4:$E$52,3),IF(C49="n",VLOOKUP(LUT!C50,LUT!$C$4:$E$52,2)," "))</f>
        <v>1</v>
      </c>
      <c r="E49" s="57"/>
      <c r="F49" s="64" t="s">
        <v>99</v>
      </c>
      <c r="G49" s="64" t="s">
        <v>100</v>
      </c>
    </row>
    <row r="50" spans="1:7" ht="76.5">
      <c r="A50" s="66">
        <v>8.0399999999999991</v>
      </c>
      <c r="B50" s="67" t="s">
        <v>101</v>
      </c>
      <c r="C50" s="56" t="s">
        <v>19</v>
      </c>
      <c r="D50" s="59">
        <f>IF(C50="y",VLOOKUP(LUT!C51,LUT!$C$4:$E$52,3),IF(C50="n",VLOOKUP(LUT!C51,LUT!$C$4:$E$52,2)," "))</f>
        <v>1</v>
      </c>
      <c r="E50" s="57"/>
      <c r="F50" s="64" t="s">
        <v>102</v>
      </c>
      <c r="G50" s="64" t="s">
        <v>76</v>
      </c>
    </row>
    <row r="51" spans="1:7">
      <c r="A51" s="66">
        <v>8.0500000000000007</v>
      </c>
      <c r="B51" s="67" t="s">
        <v>103</v>
      </c>
      <c r="C51" s="56" t="s">
        <v>39</v>
      </c>
      <c r="D51" s="59" t="str">
        <f>IF(C51="y",VLOOKUP(LUT!C52,LUT!$C$4:$E$52,3),IF(C51="n",VLOOKUP(LUT!C52,LUT!$C$4:$E$52,2)," "))</f>
        <v xml:space="preserve"> </v>
      </c>
      <c r="E51" s="57"/>
      <c r="F51" s="64" t="s">
        <v>43</v>
      </c>
      <c r="G51" s="64"/>
    </row>
    <row r="52" spans="1:7" ht="15.95" thickBot="1">
      <c r="A52" s="87"/>
      <c r="B52" s="86"/>
      <c r="C52" s="56"/>
      <c r="D52" s="56"/>
      <c r="E52" s="57"/>
      <c r="F52" s="56"/>
      <c r="G52" s="56"/>
    </row>
    <row r="53" spans="1:7" ht="29.25" customHeight="1" thickTop="1">
      <c r="A53" s="56"/>
      <c r="B53" s="56"/>
      <c r="C53" s="69" t="s">
        <v>104</v>
      </c>
      <c r="D53" s="61">
        <f>SUM(D3:D51)</f>
        <v>20</v>
      </c>
      <c r="E53" s="62"/>
      <c r="F53" s="56"/>
      <c r="G53" s="56"/>
    </row>
    <row r="54" spans="1:7" ht="33" customHeight="1" thickBot="1">
      <c r="A54" s="56"/>
      <c r="B54" s="56"/>
      <c r="C54" s="70" t="s">
        <v>105</v>
      </c>
      <c r="D54" s="21" t="str">
        <f>IF(E60="no","more info needed",IF(D53&lt;1,"accept",IF(D53&gt;6,"reject","evaluate further")))</f>
        <v>reject</v>
      </c>
      <c r="E54" s="62"/>
      <c r="F54" s="56"/>
      <c r="G54" s="56"/>
    </row>
    <row r="55" spans="1:7" ht="17.100000000000001" thickTop="1" thickBot="1">
      <c r="A55" s="56"/>
      <c r="B55" s="56"/>
      <c r="C55" s="56"/>
      <c r="D55" s="56"/>
      <c r="E55" s="57"/>
      <c r="F55" s="56"/>
      <c r="G55" s="56"/>
    </row>
    <row r="56" spans="1:7" ht="33.950000000000003" thickTop="1" thickBot="1">
      <c r="A56" s="56"/>
      <c r="B56" s="22" t="s">
        <v>106</v>
      </c>
      <c r="C56" s="23" t="s">
        <v>107</v>
      </c>
      <c r="D56" s="19" t="s">
        <v>108</v>
      </c>
      <c r="E56" s="62"/>
      <c r="F56" s="63"/>
      <c r="G56" s="56"/>
    </row>
    <row r="57" spans="1:7" ht="17.100000000000001" thickTop="1">
      <c r="A57" s="56"/>
      <c r="B57" s="28" t="s">
        <v>109</v>
      </c>
      <c r="C57" s="24">
        <f>COUNTIF(C3:C15, "y")+COUNTIF(C3:C15, "n")+COUNTIF(C6:C7, "1")+COUNTIF(C6:C7, "2")+COUNTIF(C6:C7, "3")</f>
        <v>11</v>
      </c>
      <c r="D57" s="20" t="str">
        <f>IF(C57&gt;=2,"yes","no")</f>
        <v>yes</v>
      </c>
      <c r="E57" s="62"/>
      <c r="F57" s="56"/>
      <c r="G57" s="56"/>
    </row>
    <row r="58" spans="1:7" ht="15.95">
      <c r="A58" s="56"/>
      <c r="B58" s="29" t="s">
        <v>110</v>
      </c>
      <c r="C58" s="24">
        <f>COUNTIF(C16:C27,"y")+COUNTIF(C16:C27,"n")</f>
        <v>7</v>
      </c>
      <c r="D58" s="20" t="str">
        <f>IF(C58&gt;=2,"yes","no")</f>
        <v>yes</v>
      </c>
      <c r="E58" s="62"/>
      <c r="F58" s="56"/>
      <c r="G58" s="56"/>
    </row>
    <row r="59" spans="1:7" ht="15.95">
      <c r="A59" s="56"/>
      <c r="B59" s="28" t="s">
        <v>111</v>
      </c>
      <c r="C59" s="24">
        <f>COUNTIF(C28:C51,"y")+COUNTIF(C28:C51, "n")+COUNT(C28:C51)</f>
        <v>15</v>
      </c>
      <c r="D59" s="20" t="str">
        <f>IF(C59&gt;=6,"yes","no")</f>
        <v>yes</v>
      </c>
      <c r="E59" s="62"/>
      <c r="F59" s="56"/>
      <c r="G59" s="56"/>
    </row>
    <row r="60" spans="1:7" ht="17.100000000000001" thickBot="1">
      <c r="A60" s="56"/>
      <c r="B60" s="25" t="s">
        <v>112</v>
      </c>
      <c r="C60" s="26">
        <f>SUM(C57:C59)</f>
        <v>33</v>
      </c>
      <c r="D60" s="21" t="str">
        <f>IF(D57="no","no",IF(D58="no","no",IF(D59="no","no","yes")))</f>
        <v>yes</v>
      </c>
      <c r="E60" s="62"/>
      <c r="F60" s="56"/>
      <c r="G60" s="56"/>
    </row>
    <row r="61" spans="1:7" ht="15.95" thickTop="1">
      <c r="A61" s="56"/>
      <c r="B61" s="56"/>
      <c r="C61" s="56"/>
      <c r="D61" s="56"/>
      <c r="E61" s="57"/>
      <c r="F61" s="56"/>
      <c r="G61" s="56"/>
    </row>
    <row r="62" spans="1:7">
      <c r="A62" s="56"/>
      <c r="B62" s="56"/>
      <c r="C62" s="56"/>
      <c r="D62" s="56"/>
      <c r="E62" s="57"/>
      <c r="F62" s="56"/>
      <c r="G62" s="56"/>
    </row>
    <row r="63" spans="1:7" ht="15.95" thickBot="1">
      <c r="A63" s="56"/>
      <c r="B63" s="108" t="s">
        <v>113</v>
      </c>
      <c r="C63" s="108"/>
      <c r="D63" s="108"/>
      <c r="E63" s="62"/>
      <c r="F63" s="56"/>
      <c r="G63" s="56"/>
    </row>
    <row r="64" spans="1:7" ht="15.95" thickBot="1">
      <c r="A64" s="56"/>
      <c r="B64" s="109" t="s">
        <v>114</v>
      </c>
      <c r="C64" s="110"/>
      <c r="D64" s="111"/>
      <c r="E64" s="62"/>
      <c r="F64" s="56"/>
      <c r="G64" s="56"/>
    </row>
    <row r="65" spans="1:7">
      <c r="A65" s="56">
        <v>9.01</v>
      </c>
      <c r="B65" s="71" t="s">
        <v>115</v>
      </c>
      <c r="C65" s="112"/>
      <c r="D65" s="113"/>
      <c r="E65" s="62"/>
      <c r="F65" s="56"/>
      <c r="G65" s="56"/>
    </row>
    <row r="66" spans="1:7">
      <c r="A66" s="56">
        <v>9.02</v>
      </c>
      <c r="B66" s="71" t="s">
        <v>116</v>
      </c>
      <c r="C66" s="114"/>
      <c r="D66" s="115"/>
      <c r="E66" s="62"/>
      <c r="F66" s="56"/>
      <c r="G66" s="56"/>
    </row>
    <row r="67" spans="1:7">
      <c r="A67" s="56">
        <v>9.0299999999999994</v>
      </c>
      <c r="B67" s="71" t="s">
        <v>117</v>
      </c>
      <c r="C67" s="106"/>
      <c r="D67" s="107"/>
      <c r="E67" s="62"/>
      <c r="F67" s="56"/>
      <c r="G67" s="56"/>
    </row>
    <row r="68" spans="1:7">
      <c r="A68" s="56">
        <v>9.0399999999999991</v>
      </c>
      <c r="B68" s="71" t="s">
        <v>118</v>
      </c>
      <c r="C68" s="106"/>
      <c r="D68" s="107"/>
      <c r="E68" s="62"/>
      <c r="F68" s="56"/>
      <c r="G68" s="56"/>
    </row>
    <row r="69" spans="1:7">
      <c r="A69" s="56">
        <v>9.0500000000000007</v>
      </c>
      <c r="B69" s="71" t="s">
        <v>119</v>
      </c>
      <c r="C69" s="106"/>
      <c r="D69" s="107"/>
      <c r="E69" s="62"/>
      <c r="F69" s="56"/>
      <c r="G69" s="56"/>
    </row>
    <row r="70" spans="1:7">
      <c r="A70" s="56">
        <v>9.06</v>
      </c>
      <c r="B70" s="71" t="s">
        <v>120</v>
      </c>
      <c r="C70" s="106"/>
      <c r="D70" s="107"/>
      <c r="E70" s="62"/>
      <c r="F70" s="56"/>
      <c r="G70" s="56"/>
    </row>
    <row r="71" spans="1:7">
      <c r="A71" s="56">
        <v>9.07</v>
      </c>
      <c r="B71" s="71" t="s">
        <v>121</v>
      </c>
      <c r="C71" s="94"/>
      <c r="D71" s="97" t="str">
        <f>IF(C71="yes", IF(OR(C65="?", C66="?", C67="no", C67="?"), "eval.", IF(AND(C65="yes", C66="yes", C67="yes"), "reject", IF(OR(C65="no", C66="no"), "accept", " ")))," ")</f>
        <v xml:space="preserve"> </v>
      </c>
      <c r="E71" s="62"/>
      <c r="F71" s="56"/>
      <c r="G71" s="56"/>
    </row>
    <row r="72" spans="1:7">
      <c r="A72" s="56">
        <v>9.08</v>
      </c>
      <c r="B72" s="71" t="s">
        <v>122</v>
      </c>
      <c r="C72" s="92"/>
      <c r="D72" s="89" t="str">
        <f>IF(C71="yes","STOP",IF(C72="yes",IF(C68="no","accept",IF(AND(C68="yes",OR(C69="yes",C70="yes")),"reject",IF(OR(C68="?",C69="?",C70="?",C69="no",C70="no"),"eval.",""))), ""))</f>
        <v/>
      </c>
      <c r="E72" s="62"/>
      <c r="F72" s="56"/>
      <c r="G72" s="56"/>
    </row>
    <row r="73" spans="1:7" ht="15.95" thickBot="1">
      <c r="A73" s="56">
        <v>9.09</v>
      </c>
      <c r="B73" s="91" t="s">
        <v>123</v>
      </c>
      <c r="C73" s="93"/>
      <c r="D73" s="90" t="str">
        <f>IF(OR(C71="yes",C72="yes"),"STOP",IF(C73="yes",IF(AND(LUT!I26="accept",LUT!I27="accept"),"accept",IF(AND(LUT!I26="eval.",LUT!I27="eval."),"eval.",IF(OR(LUT!I26="reject",LUT!I27="reject"),"reject",""))),""))</f>
        <v/>
      </c>
      <c r="E73" s="62"/>
      <c r="F73" s="56"/>
      <c r="G73" s="56"/>
    </row>
    <row r="74" spans="1:7" ht="15.95" thickBot="1">
      <c r="A74" s="56"/>
      <c r="B74" s="72" t="s">
        <v>124</v>
      </c>
      <c r="C74" s="104" t="str">
        <f>IF(OR(D71="accept", D72="accept", D73="accept"), "Accept", IF(OR(D71="eval.", D72="eval.", D73="eval."), "Evaluate Further", IF(OR(D71="reject", D72="reject",D73="reject"), "Reject", "")))</f>
        <v/>
      </c>
      <c r="D74" s="105"/>
      <c r="E74" s="62"/>
      <c r="F74" s="56"/>
      <c r="G74" s="56"/>
    </row>
    <row r="75" spans="1:7">
      <c r="A75" s="56"/>
      <c r="B75" s="64"/>
      <c r="C75" s="64"/>
      <c r="D75" s="56"/>
      <c r="E75" s="57"/>
      <c r="F75" s="56"/>
      <c r="G75" s="56"/>
    </row>
    <row r="76" spans="1:7">
      <c r="A76" s="56"/>
      <c r="B76" s="64"/>
      <c r="C76" s="64"/>
      <c r="D76" s="56"/>
      <c r="E76" s="57"/>
      <c r="F76" s="56"/>
      <c r="G76" s="56"/>
    </row>
    <row r="77" spans="1:7">
      <c r="A77" s="56"/>
      <c r="B77" s="64"/>
      <c r="C77" s="64"/>
      <c r="D77" s="56"/>
      <c r="E77" s="57"/>
      <c r="F77" s="56"/>
      <c r="G77" s="56"/>
    </row>
    <row r="78" spans="1:7">
      <c r="A78" s="56"/>
      <c r="B78" s="64"/>
      <c r="C78" s="64"/>
      <c r="D78" s="56"/>
      <c r="E78" s="57"/>
      <c r="F78" s="56"/>
      <c r="G78" s="56"/>
    </row>
    <row r="79" spans="1:7">
      <c r="A79" s="56"/>
      <c r="B79" s="64"/>
      <c r="C79" s="64"/>
      <c r="D79" s="56"/>
      <c r="E79" s="57"/>
      <c r="F79" s="56"/>
      <c r="G79" s="56"/>
    </row>
    <row r="80" spans="1:7">
      <c r="A80" s="56"/>
      <c r="B80" s="64"/>
      <c r="C80" s="64"/>
      <c r="D80" s="56"/>
      <c r="E80" s="57"/>
      <c r="F80" s="56"/>
      <c r="G80" s="56"/>
    </row>
    <row r="81" spans="1:7">
      <c r="A81" s="56"/>
      <c r="B81" s="64"/>
      <c r="C81" s="64"/>
      <c r="D81" s="56"/>
      <c r="E81" s="57"/>
      <c r="F81" s="56"/>
      <c r="G81" s="56"/>
    </row>
    <row r="82" spans="1:7">
      <c r="A82" s="56"/>
      <c r="B82" s="64"/>
      <c r="C82" s="64"/>
      <c r="D82" s="56"/>
      <c r="E82" s="57"/>
      <c r="F82" s="56"/>
      <c r="G82" s="56"/>
    </row>
    <row r="83" spans="1:7">
      <c r="A83" s="56"/>
      <c r="B83" s="64"/>
      <c r="C83" s="64"/>
      <c r="D83" s="56"/>
      <c r="E83" s="57"/>
      <c r="F83" s="56"/>
      <c r="G83" s="56"/>
    </row>
    <row r="84" spans="1:7">
      <c r="A84" s="56"/>
      <c r="B84" s="64"/>
      <c r="C84" s="64"/>
      <c r="D84" s="56"/>
      <c r="E84" s="57"/>
      <c r="F84" s="56"/>
      <c r="G84" s="56"/>
    </row>
    <row r="85" spans="1:7">
      <c r="A85" s="56"/>
      <c r="B85" s="64"/>
      <c r="C85" s="64"/>
      <c r="D85" s="56"/>
      <c r="E85" s="57"/>
      <c r="F85" s="56"/>
      <c r="G85" s="56"/>
    </row>
    <row r="86" spans="1:7">
      <c r="A86" s="56"/>
      <c r="B86" s="56"/>
      <c r="C86" s="56"/>
      <c r="D86" s="56"/>
      <c r="E86" s="57"/>
      <c r="F86" s="56"/>
      <c r="G86" s="56"/>
    </row>
    <row r="107" spans="6:6">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125</v>
      </c>
      <c r="H2" s="134" t="s">
        <v>126</v>
      </c>
      <c r="I2" s="135"/>
      <c r="J2" s="135"/>
      <c r="K2" s="135"/>
      <c r="L2" s="135"/>
      <c r="M2" s="135"/>
      <c r="N2" s="135"/>
      <c r="O2" s="135"/>
      <c r="P2" s="135"/>
      <c r="Q2" s="135"/>
      <c r="R2" s="136"/>
    </row>
    <row r="3" spans="2:18">
      <c r="B3" s="1" t="s">
        <v>106</v>
      </c>
      <c r="C3" s="2" t="s">
        <v>4</v>
      </c>
      <c r="D3" s="2" t="s">
        <v>127</v>
      </c>
      <c r="E3" s="3" t="s">
        <v>128</v>
      </c>
      <c r="H3" s="148" t="s">
        <v>129</v>
      </c>
      <c r="I3" s="149"/>
      <c r="J3" s="149"/>
      <c r="K3" s="149"/>
      <c r="L3" s="149"/>
      <c r="M3" s="149"/>
      <c r="N3" s="149"/>
      <c r="O3" s="149"/>
      <c r="P3" s="149"/>
      <c r="Q3" s="149"/>
      <c r="R3" s="150"/>
    </row>
    <row r="4" spans="2:18">
      <c r="B4" s="4" t="s">
        <v>130</v>
      </c>
      <c r="C4">
        <v>1.01</v>
      </c>
      <c r="D4">
        <v>0</v>
      </c>
      <c r="E4" s="5">
        <v>-3</v>
      </c>
      <c r="H4" s="128" t="s">
        <v>131</v>
      </c>
      <c r="I4" s="129"/>
      <c r="J4" s="129"/>
      <c r="K4" s="129"/>
      <c r="L4" s="129"/>
      <c r="M4" s="129"/>
      <c r="N4" s="129"/>
      <c r="O4" s="129"/>
      <c r="P4" s="129"/>
      <c r="Q4" s="129"/>
      <c r="R4" s="16" t="s">
        <v>132</v>
      </c>
    </row>
    <row r="5" spans="2:18">
      <c r="B5" s="4" t="s">
        <v>111</v>
      </c>
      <c r="C5">
        <v>1.02</v>
      </c>
      <c r="D5">
        <v>-1</v>
      </c>
      <c r="E5" s="5">
        <v>1</v>
      </c>
      <c r="H5" s="128" t="s">
        <v>133</v>
      </c>
      <c r="I5" s="10">
        <v>2.0099999999999998</v>
      </c>
      <c r="J5" s="10">
        <v>1</v>
      </c>
      <c r="K5" s="10">
        <v>1</v>
      </c>
      <c r="L5" s="10">
        <v>1</v>
      </c>
      <c r="M5" s="10">
        <v>2</v>
      </c>
      <c r="N5" s="10">
        <v>2</v>
      </c>
      <c r="O5" s="10">
        <v>2</v>
      </c>
      <c r="P5" s="10">
        <v>3</v>
      </c>
      <c r="Q5" s="10">
        <v>3</v>
      </c>
      <c r="R5" s="11">
        <v>3</v>
      </c>
    </row>
    <row r="6" spans="2:18">
      <c r="B6" s="4" t="s">
        <v>111</v>
      </c>
      <c r="C6">
        <v>1.03</v>
      </c>
      <c r="D6">
        <v>-1</v>
      </c>
      <c r="E6" s="5">
        <v>1</v>
      </c>
      <c r="H6" s="128"/>
      <c r="I6" s="10">
        <v>2.02</v>
      </c>
      <c r="J6" s="10">
        <v>1</v>
      </c>
      <c r="K6" s="10">
        <v>2</v>
      </c>
      <c r="L6" s="10">
        <v>3</v>
      </c>
      <c r="M6" s="10">
        <v>1</v>
      </c>
      <c r="N6" s="10">
        <v>2</v>
      </c>
      <c r="O6" s="10">
        <v>3</v>
      </c>
      <c r="P6" s="10">
        <v>1</v>
      </c>
      <c r="Q6" s="10">
        <v>2</v>
      </c>
      <c r="R6" s="11">
        <v>3</v>
      </c>
    </row>
    <row r="7" spans="2:18">
      <c r="B7" s="4"/>
      <c r="C7">
        <v>2.0099999999999998</v>
      </c>
      <c r="D7" s="116" t="s">
        <v>134</v>
      </c>
      <c r="E7" s="117"/>
      <c r="H7" s="130" t="s">
        <v>135</v>
      </c>
      <c r="I7" s="10">
        <v>3.01</v>
      </c>
      <c r="J7" s="10">
        <v>2</v>
      </c>
      <c r="K7" s="10">
        <v>1</v>
      </c>
      <c r="L7" s="10">
        <v>1</v>
      </c>
      <c r="M7" s="10">
        <v>2</v>
      </c>
      <c r="N7" s="10">
        <v>2</v>
      </c>
      <c r="O7" s="10">
        <v>1</v>
      </c>
      <c r="P7" s="10">
        <v>2</v>
      </c>
      <c r="Q7" s="10">
        <v>2</v>
      </c>
      <c r="R7" s="11">
        <v>2</v>
      </c>
    </row>
    <row r="8" spans="2:18">
      <c r="B8" s="4"/>
      <c r="C8">
        <v>2.02</v>
      </c>
      <c r="D8" s="118"/>
      <c r="E8" s="119"/>
      <c r="H8" s="130"/>
      <c r="I8" s="10">
        <v>3.02</v>
      </c>
      <c r="J8" s="10">
        <v>2</v>
      </c>
      <c r="K8" s="10">
        <v>1</v>
      </c>
      <c r="L8" s="10">
        <v>1</v>
      </c>
      <c r="M8" s="10">
        <v>2</v>
      </c>
      <c r="N8" s="10">
        <v>2</v>
      </c>
      <c r="O8" s="10">
        <v>1</v>
      </c>
      <c r="P8" s="10">
        <v>2</v>
      </c>
      <c r="Q8" s="10">
        <v>2</v>
      </c>
      <c r="R8" s="11">
        <v>2</v>
      </c>
    </row>
    <row r="9" spans="2:18">
      <c r="B9" s="4" t="s">
        <v>111</v>
      </c>
      <c r="C9">
        <v>2.0299999999999998</v>
      </c>
      <c r="D9">
        <v>0</v>
      </c>
      <c r="E9" s="5">
        <v>1</v>
      </c>
      <c r="H9" s="130"/>
      <c r="I9" s="10">
        <v>3.03</v>
      </c>
      <c r="J9" s="10">
        <v>4</v>
      </c>
      <c r="K9" s="10">
        <v>2</v>
      </c>
      <c r="L9" s="10">
        <v>1</v>
      </c>
      <c r="M9" s="10">
        <v>4</v>
      </c>
      <c r="N9" s="10">
        <v>3</v>
      </c>
      <c r="O9" s="10">
        <v>2</v>
      </c>
      <c r="P9" s="10">
        <v>4</v>
      </c>
      <c r="Q9" s="10">
        <v>4</v>
      </c>
      <c r="R9" s="11">
        <v>4</v>
      </c>
    </row>
    <row r="10" spans="2:18">
      <c r="B10" s="4" t="s">
        <v>111</v>
      </c>
      <c r="C10">
        <v>2.04</v>
      </c>
      <c r="D10">
        <v>0</v>
      </c>
      <c r="E10" s="5">
        <v>1</v>
      </c>
      <c r="H10" s="130"/>
      <c r="I10" s="10">
        <v>3.04</v>
      </c>
      <c r="J10" s="10">
        <v>4</v>
      </c>
      <c r="K10" s="10">
        <v>2</v>
      </c>
      <c r="L10" s="10">
        <v>1</v>
      </c>
      <c r="M10" s="10">
        <v>4</v>
      </c>
      <c r="N10" s="10">
        <v>3</v>
      </c>
      <c r="O10" s="10">
        <v>2</v>
      </c>
      <c r="P10" s="10">
        <v>4</v>
      </c>
      <c r="Q10" s="10">
        <v>4</v>
      </c>
      <c r="R10" s="11">
        <v>4</v>
      </c>
    </row>
    <row r="11" spans="2:18">
      <c r="B11" s="4"/>
      <c r="C11">
        <v>2.0499999999999998</v>
      </c>
      <c r="E11" s="5"/>
      <c r="H11" s="130"/>
      <c r="I11" s="10">
        <v>3.05</v>
      </c>
      <c r="J11" s="10">
        <v>2</v>
      </c>
      <c r="K11" s="10">
        <v>1</v>
      </c>
      <c r="L11" s="10">
        <v>1</v>
      </c>
      <c r="M11" s="10">
        <v>2</v>
      </c>
      <c r="N11" s="10">
        <v>2</v>
      </c>
      <c r="O11" s="10">
        <v>1</v>
      </c>
      <c r="P11" s="10">
        <v>2</v>
      </c>
      <c r="Q11" s="10">
        <v>2</v>
      </c>
      <c r="R11" s="11">
        <v>2</v>
      </c>
    </row>
    <row r="12" spans="2:18">
      <c r="B12" s="4" t="s">
        <v>111</v>
      </c>
      <c r="C12">
        <v>3.01</v>
      </c>
      <c r="D12" s="120" t="s">
        <v>136</v>
      </c>
      <c r="E12" s="121"/>
      <c r="H12" s="137" t="s">
        <v>137</v>
      </c>
      <c r="I12" s="138"/>
      <c r="J12" s="138"/>
      <c r="K12" s="138"/>
      <c r="L12" s="138"/>
      <c r="M12" s="138"/>
      <c r="N12" s="138"/>
      <c r="O12" s="138"/>
      <c r="P12" s="138"/>
      <c r="Q12" s="138"/>
      <c r="R12" s="140"/>
    </row>
    <row r="13" spans="2:18">
      <c r="B13" s="4" t="s">
        <v>138</v>
      </c>
      <c r="C13">
        <v>3.02</v>
      </c>
      <c r="D13" s="122"/>
      <c r="E13" s="123"/>
      <c r="H13" s="4" t="s">
        <v>139</v>
      </c>
      <c r="I13" s="10">
        <v>2.0499999999999998</v>
      </c>
      <c r="J13" s="10" t="s">
        <v>39</v>
      </c>
      <c r="K13" s="10" t="s">
        <v>140</v>
      </c>
      <c r="L13" s="10" t="s">
        <v>141</v>
      </c>
      <c r="M13" s="138"/>
      <c r="N13" s="138"/>
      <c r="O13" s="138"/>
      <c r="P13" s="138"/>
      <c r="Q13" s="138"/>
      <c r="R13" s="140"/>
    </row>
    <row r="14" spans="2:18">
      <c r="B14" s="4" t="s">
        <v>109</v>
      </c>
      <c r="C14">
        <v>3.03</v>
      </c>
      <c r="D14" s="122"/>
      <c r="E14" s="123"/>
      <c r="H14" s="130" t="s">
        <v>135</v>
      </c>
      <c r="I14" s="10">
        <v>3.01</v>
      </c>
      <c r="J14" s="10">
        <v>-1</v>
      </c>
      <c r="K14" s="10">
        <v>0</v>
      </c>
      <c r="L14" s="10">
        <v>-2</v>
      </c>
      <c r="M14" s="138"/>
      <c r="N14" s="138"/>
      <c r="O14" s="138"/>
      <c r="P14" s="138"/>
      <c r="Q14" s="138"/>
      <c r="R14" s="140"/>
    </row>
    <row r="15" spans="2:18" ht="15.95" thickBot="1">
      <c r="B15" s="4" t="s">
        <v>138</v>
      </c>
      <c r="C15">
        <v>3.04</v>
      </c>
      <c r="D15" s="122"/>
      <c r="E15" s="123"/>
      <c r="H15" s="139"/>
      <c r="I15" s="13" t="s">
        <v>142</v>
      </c>
      <c r="J15" s="13">
        <v>0</v>
      </c>
      <c r="K15" s="13">
        <v>0</v>
      </c>
      <c r="L15" s="13">
        <v>0</v>
      </c>
      <c r="M15" s="141"/>
      <c r="N15" s="141"/>
      <c r="O15" s="141"/>
      <c r="P15" s="141"/>
      <c r="Q15" s="141"/>
      <c r="R15" s="142"/>
    </row>
    <row r="16" spans="2:18">
      <c r="B16" s="4" t="s">
        <v>111</v>
      </c>
      <c r="C16">
        <v>3.05</v>
      </c>
      <c r="D16" s="124"/>
      <c r="E16" s="125"/>
    </row>
    <row r="17" spans="2:11">
      <c r="B17" s="4" t="s">
        <v>143</v>
      </c>
      <c r="C17">
        <v>4.01</v>
      </c>
      <c r="D17">
        <v>0</v>
      </c>
      <c r="E17" s="5">
        <v>1</v>
      </c>
    </row>
    <row r="18" spans="2:11" ht="15.95" thickBot="1">
      <c r="B18" s="4" t="s">
        <v>111</v>
      </c>
      <c r="C18">
        <v>4.0199999999999996</v>
      </c>
      <c r="D18">
        <v>0</v>
      </c>
      <c r="E18" s="5">
        <v>1</v>
      </c>
    </row>
    <row r="19" spans="2:11">
      <c r="B19" s="4" t="s">
        <v>111</v>
      </c>
      <c r="C19">
        <v>4.03</v>
      </c>
      <c r="D19">
        <v>0</v>
      </c>
      <c r="E19" s="5">
        <v>1</v>
      </c>
      <c r="H19" s="134" t="s">
        <v>144</v>
      </c>
      <c r="I19" s="135"/>
      <c r="J19" s="135"/>
      <c r="K19" s="136"/>
    </row>
    <row r="20" spans="2:11">
      <c r="B20" s="4" t="s">
        <v>109</v>
      </c>
      <c r="C20">
        <v>4.04</v>
      </c>
      <c r="D20">
        <v>-1</v>
      </c>
      <c r="E20" s="5">
        <v>1</v>
      </c>
      <c r="H20" s="4" t="s">
        <v>145</v>
      </c>
      <c r="I20" s="12">
        <v>1</v>
      </c>
      <c r="J20" s="12">
        <v>2</v>
      </c>
      <c r="K20" s="9">
        <v>4</v>
      </c>
    </row>
    <row r="21" spans="2:11" ht="15.95" thickBot="1">
      <c r="B21" s="4" t="s">
        <v>111</v>
      </c>
      <c r="C21">
        <v>4.05</v>
      </c>
      <c r="D21">
        <v>0</v>
      </c>
      <c r="E21" s="5">
        <v>1</v>
      </c>
      <c r="H21" s="6" t="s">
        <v>6</v>
      </c>
      <c r="I21" s="14">
        <v>1</v>
      </c>
      <c r="J21" s="14">
        <v>0</v>
      </c>
      <c r="K21" s="15">
        <v>-1</v>
      </c>
    </row>
    <row r="22" spans="2:11">
      <c r="B22" s="4" t="s">
        <v>111</v>
      </c>
      <c r="C22">
        <v>4.0599999999999996</v>
      </c>
      <c r="D22">
        <v>0</v>
      </c>
      <c r="E22" s="5">
        <v>1</v>
      </c>
    </row>
    <row r="23" spans="2:11">
      <c r="B23" s="4" t="s">
        <v>111</v>
      </c>
      <c r="C23">
        <v>4.07</v>
      </c>
      <c r="D23">
        <v>0</v>
      </c>
      <c r="E23" s="5">
        <v>1</v>
      </c>
    </row>
    <row r="24" spans="2:11" ht="15.95" thickBot="1">
      <c r="B24" s="4" t="s">
        <v>138</v>
      </c>
      <c r="C24">
        <v>4.08</v>
      </c>
      <c r="D24">
        <v>0</v>
      </c>
      <c r="E24" s="5">
        <v>1</v>
      </c>
    </row>
    <row r="25" spans="2:11">
      <c r="B25" s="4" t="s">
        <v>138</v>
      </c>
      <c r="C25">
        <v>4.09</v>
      </c>
      <c r="D25">
        <v>0</v>
      </c>
      <c r="E25" s="5">
        <v>1</v>
      </c>
      <c r="H25" s="131" t="s">
        <v>146</v>
      </c>
      <c r="I25" s="132"/>
      <c r="J25" s="132"/>
      <c r="K25" s="133"/>
    </row>
    <row r="26" spans="2:11">
      <c r="B26" s="4" t="s">
        <v>138</v>
      </c>
      <c r="C26">
        <v>4.0999999999999996</v>
      </c>
      <c r="D26">
        <v>0</v>
      </c>
      <c r="E26" s="5">
        <v>1</v>
      </c>
      <c r="H26" s="95" t="s">
        <v>147</v>
      </c>
      <c r="I26" s="151" t="str">
        <f>IF(OR('WRA Worksheet'!C65="?",'WRA Worksheet'!C66="?",'WRA Worksheet'!C67="?",'WRA Worksheet'!C67="no"),"eval.",IF(AND('WRA Worksheet'!C65="yes",'WRA Worksheet'!C66="yes",'WRA Worksheet'!C67="yes"),"reject",IF(OR('WRA Worksheet'!C65="no",'WRA Worksheet'!C66="no"),"accept","")))</f>
        <v/>
      </c>
      <c r="J26" s="151"/>
      <c r="K26" s="152"/>
    </row>
    <row r="27" spans="2:11" ht="15.95" thickBot="1">
      <c r="B27" s="4" t="s">
        <v>138</v>
      </c>
      <c r="C27">
        <v>4.1100000000000003</v>
      </c>
      <c r="D27">
        <v>0</v>
      </c>
      <c r="E27" s="5">
        <v>1</v>
      </c>
      <c r="H27" s="96" t="s">
        <v>148</v>
      </c>
      <c r="I27" s="153" t="str">
        <f>IF('WRA Worksheet'!C68="no","accept",IF(AND('WRA Worksheet'!C68="yes",OR('WRA Worksheet'!C69="yes",'WRA Worksheet'!C70="yes")),"reject",IF(OR('WRA Worksheet'!C68="?",'WRA Worksheet'!C69="?",'WRA Worksheet'!C70="?",'WRA Worksheet'!C69="no",'WRA Worksheet'!C70="no"),"eval.","")))</f>
        <v/>
      </c>
      <c r="J27" s="153"/>
      <c r="K27" s="154"/>
    </row>
    <row r="28" spans="2:11">
      <c r="B28" s="4" t="s">
        <v>111</v>
      </c>
      <c r="C28">
        <v>4.12</v>
      </c>
      <c r="D28">
        <v>0</v>
      </c>
      <c r="E28" s="5">
        <v>1</v>
      </c>
    </row>
    <row r="29" spans="2:11">
      <c r="B29" s="4" t="s">
        <v>149</v>
      </c>
      <c r="C29">
        <v>5.01</v>
      </c>
      <c r="D29">
        <v>0</v>
      </c>
      <c r="E29" s="5">
        <v>5</v>
      </c>
    </row>
    <row r="30" spans="2:11">
      <c r="B30" s="4" t="s">
        <v>111</v>
      </c>
      <c r="C30">
        <v>5.0199999999999996</v>
      </c>
      <c r="D30">
        <v>0</v>
      </c>
      <c r="E30" s="5">
        <v>1</v>
      </c>
    </row>
    <row r="31" spans="2:11">
      <c r="B31" s="4" t="s">
        <v>138</v>
      </c>
      <c r="C31">
        <v>5.03</v>
      </c>
      <c r="D31">
        <v>0</v>
      </c>
      <c r="E31" s="5">
        <v>1</v>
      </c>
    </row>
    <row r="32" spans="2:11">
      <c r="B32" s="4" t="s">
        <v>111</v>
      </c>
      <c r="C32">
        <v>5.04</v>
      </c>
      <c r="D32">
        <v>0</v>
      </c>
      <c r="E32" s="5">
        <v>1</v>
      </c>
    </row>
    <row r="33" spans="2:5">
      <c r="B33" s="4" t="s">
        <v>111</v>
      </c>
      <c r="C33">
        <v>6.01</v>
      </c>
      <c r="D33">
        <v>0</v>
      </c>
      <c r="E33" s="5">
        <v>1</v>
      </c>
    </row>
    <row r="34" spans="2:5">
      <c r="B34" s="4" t="s">
        <v>111</v>
      </c>
      <c r="C34">
        <v>6.02</v>
      </c>
      <c r="D34">
        <v>-1</v>
      </c>
      <c r="E34" s="5">
        <v>1</v>
      </c>
    </row>
    <row r="35" spans="2:5">
      <c r="B35" s="4" t="s">
        <v>109</v>
      </c>
      <c r="C35">
        <v>6.03</v>
      </c>
      <c r="D35">
        <v>-1</v>
      </c>
      <c r="E35" s="5">
        <v>1</v>
      </c>
    </row>
    <row r="36" spans="2:5">
      <c r="B36" s="4" t="s">
        <v>111</v>
      </c>
      <c r="C36">
        <v>6.04</v>
      </c>
      <c r="D36">
        <v>-1</v>
      </c>
      <c r="E36" s="5">
        <v>1</v>
      </c>
    </row>
    <row r="37" spans="2:5">
      <c r="B37" s="4" t="s">
        <v>111</v>
      </c>
      <c r="C37">
        <v>6.05</v>
      </c>
      <c r="D37">
        <v>0</v>
      </c>
      <c r="E37" s="5">
        <v>-1</v>
      </c>
    </row>
    <row r="38" spans="2:5">
      <c r="B38" s="4" t="s">
        <v>109</v>
      </c>
      <c r="C38">
        <v>6.06</v>
      </c>
      <c r="D38">
        <v>-1</v>
      </c>
      <c r="E38" s="5">
        <v>1</v>
      </c>
    </row>
    <row r="39" spans="2:5">
      <c r="B39" s="4" t="s">
        <v>111</v>
      </c>
      <c r="C39">
        <v>6.07</v>
      </c>
      <c r="D39" s="126" t="s">
        <v>150</v>
      </c>
      <c r="E39" s="127"/>
    </row>
    <row r="40" spans="2:5">
      <c r="B40" s="4" t="s">
        <v>109</v>
      </c>
      <c r="C40">
        <v>7.01</v>
      </c>
      <c r="D40">
        <v>-1</v>
      </c>
      <c r="E40" s="5">
        <v>1</v>
      </c>
    </row>
    <row r="41" spans="2:5">
      <c r="B41" s="4" t="s">
        <v>111</v>
      </c>
      <c r="C41">
        <v>7.02</v>
      </c>
      <c r="D41">
        <v>-1</v>
      </c>
      <c r="E41" s="5">
        <v>1</v>
      </c>
    </row>
    <row r="42" spans="2:5">
      <c r="B42" s="4" t="s">
        <v>109</v>
      </c>
      <c r="C42">
        <v>7.03</v>
      </c>
      <c r="D42">
        <v>-1</v>
      </c>
      <c r="E42" s="5">
        <v>1</v>
      </c>
    </row>
    <row r="43" spans="2:5">
      <c r="B43" s="4" t="s">
        <v>111</v>
      </c>
      <c r="C43">
        <v>7.04</v>
      </c>
      <c r="D43">
        <v>-1</v>
      </c>
      <c r="E43" s="5">
        <v>1</v>
      </c>
    </row>
    <row r="44" spans="2:5">
      <c r="B44" s="4" t="s">
        <v>138</v>
      </c>
      <c r="C44">
        <v>7.05</v>
      </c>
      <c r="D44">
        <v>-1</v>
      </c>
      <c r="E44" s="5">
        <v>1</v>
      </c>
    </row>
    <row r="45" spans="2:5">
      <c r="B45" s="4" t="s">
        <v>138</v>
      </c>
      <c r="C45">
        <v>7.06</v>
      </c>
      <c r="D45">
        <v>-1</v>
      </c>
      <c r="E45" s="5">
        <v>1</v>
      </c>
    </row>
    <row r="46" spans="2:5">
      <c r="B46" s="4" t="s">
        <v>111</v>
      </c>
      <c r="C46">
        <v>7.07</v>
      </c>
      <c r="D46">
        <v>-1</v>
      </c>
      <c r="E46" s="5">
        <v>1</v>
      </c>
    </row>
    <row r="47" spans="2:5">
      <c r="B47" s="4" t="s">
        <v>111</v>
      </c>
      <c r="C47">
        <v>7.08</v>
      </c>
      <c r="D47">
        <v>-1</v>
      </c>
      <c r="E47" s="5">
        <v>1</v>
      </c>
    </row>
    <row r="48" spans="2:5">
      <c r="B48" s="4" t="s">
        <v>111</v>
      </c>
      <c r="C48">
        <v>8.01</v>
      </c>
      <c r="D48">
        <v>-1</v>
      </c>
      <c r="E48" s="5">
        <v>1</v>
      </c>
    </row>
    <row r="49" spans="2:5">
      <c r="B49" s="4" t="s">
        <v>111</v>
      </c>
      <c r="C49">
        <v>8.02</v>
      </c>
      <c r="D49">
        <v>-1</v>
      </c>
      <c r="E49" s="5">
        <v>1</v>
      </c>
    </row>
    <row r="50" spans="2:5">
      <c r="B50" s="4" t="s">
        <v>109</v>
      </c>
      <c r="C50">
        <v>8.0299999999999994</v>
      </c>
      <c r="D50">
        <v>1</v>
      </c>
      <c r="E50" s="5">
        <v>-1</v>
      </c>
    </row>
    <row r="51" spans="2:5">
      <c r="B51" s="4" t="s">
        <v>109</v>
      </c>
      <c r="C51">
        <v>8.0399999999999991</v>
      </c>
      <c r="D51">
        <v>-1</v>
      </c>
      <c r="E51" s="5">
        <v>1</v>
      </c>
    </row>
    <row r="52" spans="2:5">
      <c r="B52" s="4" t="s">
        <v>111</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6" t="str">
        <f>'WRA Worksheet'!F1</f>
        <v>Assessment date:  Prepared by</v>
      </c>
      <c r="B1" s="147"/>
      <c r="C1" s="147"/>
      <c r="D1" s="98" t="s">
        <v>151</v>
      </c>
    </row>
    <row r="2" spans="1:4" ht="18.95">
      <c r="A2" s="143" t="s">
        <v>152</v>
      </c>
      <c r="B2" s="144"/>
      <c r="C2" s="73" t="s">
        <v>5</v>
      </c>
      <c r="D2" s="73" t="s">
        <v>6</v>
      </c>
    </row>
    <row r="3" spans="1:4" ht="15.95">
      <c r="A3" s="74">
        <v>1.01</v>
      </c>
      <c r="B3" s="75" t="s">
        <v>10</v>
      </c>
      <c r="C3" s="76" t="str">
        <f>'WRA Worksheet'!C3</f>
        <v>n</v>
      </c>
      <c r="D3" s="82">
        <f>'WRA Worksheet'!D3</f>
        <v>0</v>
      </c>
    </row>
    <row r="4" spans="1:4" ht="15.95">
      <c r="A4" s="74">
        <v>1.02</v>
      </c>
      <c r="B4" s="75" t="s">
        <v>13</v>
      </c>
      <c r="C4" s="76">
        <f>'WRA Worksheet'!C4</f>
        <v>0</v>
      </c>
      <c r="D4" s="82" t="str">
        <f>'WRA Worksheet'!D4</f>
        <v xml:space="preserve"> </v>
      </c>
    </row>
    <row r="5" spans="1:4" ht="15.95">
      <c r="A5" s="74">
        <v>1.03</v>
      </c>
      <c r="B5" s="75" t="s">
        <v>14</v>
      </c>
      <c r="C5" s="76">
        <f>'WRA Worksheet'!C5</f>
        <v>0</v>
      </c>
      <c r="D5" s="82" t="str">
        <f>'WRA Worksheet'!D5</f>
        <v xml:space="preserve"> </v>
      </c>
    </row>
    <row r="6" spans="1:4" ht="51.95">
      <c r="A6" s="74">
        <v>2.0099999999999998</v>
      </c>
      <c r="B6" s="77" t="s">
        <v>153</v>
      </c>
      <c r="C6" s="76">
        <f>'WRA Worksheet'!C6</f>
        <v>3</v>
      </c>
      <c r="D6" s="83"/>
    </row>
    <row r="7" spans="1:4" ht="15.95">
      <c r="A7" s="74">
        <v>2.02</v>
      </c>
      <c r="B7" s="75" t="s">
        <v>154</v>
      </c>
      <c r="C7" s="76">
        <f>'WRA Worksheet'!C7</f>
        <v>3</v>
      </c>
      <c r="D7" s="83"/>
    </row>
    <row r="8" spans="1:4" ht="15.95">
      <c r="A8" s="74">
        <v>2.0299999999999998</v>
      </c>
      <c r="B8" s="75" t="s">
        <v>18</v>
      </c>
      <c r="C8" s="76" t="str">
        <f>'WRA Worksheet'!C8</f>
        <v>y</v>
      </c>
      <c r="D8" s="82">
        <f>'WRA Worksheet'!D8</f>
        <v>1</v>
      </c>
    </row>
    <row r="9" spans="1:4" ht="51.95">
      <c r="A9" s="74">
        <v>2.04</v>
      </c>
      <c r="B9" s="78" t="s">
        <v>20</v>
      </c>
      <c r="C9" s="76" t="str">
        <f>'WRA Worksheet'!C9</f>
        <v>y</v>
      </c>
      <c r="D9" s="82">
        <f>'WRA Worksheet'!D9</f>
        <v>1</v>
      </c>
    </row>
    <row r="10" spans="1:4" ht="32.1">
      <c r="A10" s="74">
        <v>2.0499999999999998</v>
      </c>
      <c r="B10" s="75" t="s">
        <v>21</v>
      </c>
      <c r="C10" s="79" t="str">
        <f>'WRA Worksheet'!C10</f>
        <v>y</v>
      </c>
      <c r="D10" s="83"/>
    </row>
    <row r="11" spans="1:4" ht="15.95">
      <c r="A11" s="74">
        <v>3.01</v>
      </c>
      <c r="B11" s="75" t="s">
        <v>24</v>
      </c>
      <c r="C11" s="76" t="str">
        <f>'WRA Worksheet'!C11</f>
        <v>y</v>
      </c>
      <c r="D11" s="82">
        <f>'WRA Worksheet'!D11</f>
        <v>2</v>
      </c>
    </row>
    <row r="12" spans="1:4" ht="15.95">
      <c r="A12" s="74">
        <v>3.02</v>
      </c>
      <c r="B12" s="75" t="s">
        <v>27</v>
      </c>
      <c r="C12" s="76" t="str">
        <f>'WRA Worksheet'!C12</f>
        <v>y</v>
      </c>
      <c r="D12" s="82">
        <f>'WRA Worksheet'!D12</f>
        <v>2</v>
      </c>
    </row>
    <row r="13" spans="1:4" ht="15.95">
      <c r="A13" s="74">
        <v>3.03</v>
      </c>
      <c r="B13" s="75" t="s">
        <v>30</v>
      </c>
      <c r="C13" s="76" t="str">
        <f>'WRA Worksheet'!C13</f>
        <v>n</v>
      </c>
      <c r="D13" s="82">
        <f>'WRA Worksheet'!D13</f>
        <v>0</v>
      </c>
    </row>
    <row r="14" spans="1:4" ht="15.95">
      <c r="A14" s="74">
        <v>3.04</v>
      </c>
      <c r="B14" s="75" t="s">
        <v>31</v>
      </c>
      <c r="C14" s="76" t="str">
        <f>'WRA Worksheet'!C14</f>
        <v>y</v>
      </c>
      <c r="D14" s="82">
        <f>'WRA Worksheet'!D14</f>
        <v>4</v>
      </c>
    </row>
    <row r="15" spans="1:4" ht="15.95">
      <c r="A15" s="74">
        <v>3.05</v>
      </c>
      <c r="B15" s="75" t="s">
        <v>34</v>
      </c>
      <c r="C15" s="76" t="str">
        <f>'WRA Worksheet'!C15</f>
        <v>y</v>
      </c>
      <c r="D15" s="82">
        <f>'WRA Worksheet'!D15</f>
        <v>2</v>
      </c>
    </row>
    <row r="16" spans="1:4" ht="15.95">
      <c r="A16" s="74">
        <v>4.01</v>
      </c>
      <c r="B16" s="75" t="s">
        <v>37</v>
      </c>
      <c r="C16" s="76" t="str">
        <f>'WRA Worksheet'!C16</f>
        <v>n</v>
      </c>
      <c r="D16" s="82">
        <f>'WRA Worksheet'!D16</f>
        <v>0</v>
      </c>
    </row>
    <row r="17" spans="1:4" ht="15.95">
      <c r="A17" s="74">
        <v>4.0199999999999996</v>
      </c>
      <c r="B17" s="75" t="s">
        <v>38</v>
      </c>
      <c r="C17" s="76" t="str">
        <f>'WRA Worksheet'!C17</f>
        <v>?</v>
      </c>
      <c r="D17" s="82" t="str">
        <f>'WRA Worksheet'!D17</f>
        <v xml:space="preserve"> </v>
      </c>
    </row>
    <row r="18" spans="1:4" ht="15.95">
      <c r="A18" s="74">
        <v>4.03</v>
      </c>
      <c r="B18" s="75" t="s">
        <v>41</v>
      </c>
      <c r="C18" s="76" t="str">
        <f>'WRA Worksheet'!C18</f>
        <v>n</v>
      </c>
      <c r="D18" s="82">
        <f>'WRA Worksheet'!D18</f>
        <v>0</v>
      </c>
    </row>
    <row r="19" spans="1:4" ht="15.95">
      <c r="A19" s="74">
        <v>4.04</v>
      </c>
      <c r="B19" s="75" t="s">
        <v>42</v>
      </c>
      <c r="C19" s="76" t="str">
        <f>'WRA Worksheet'!C19</f>
        <v>?</v>
      </c>
      <c r="D19" s="82" t="str">
        <f>'WRA Worksheet'!D19</f>
        <v xml:space="preserve"> </v>
      </c>
    </row>
    <row r="20" spans="1:4" ht="15.95">
      <c r="A20" s="74">
        <v>4.05</v>
      </c>
      <c r="B20" s="75" t="s">
        <v>44</v>
      </c>
      <c r="C20" s="76" t="str">
        <f>'WRA Worksheet'!C20</f>
        <v>n</v>
      </c>
      <c r="D20" s="82">
        <f>'WRA Worksheet'!D20</f>
        <v>0</v>
      </c>
    </row>
    <row r="21" spans="1:4" ht="15.95">
      <c r="A21" s="74">
        <v>4.0599999999999996</v>
      </c>
      <c r="B21" s="75" t="s">
        <v>45</v>
      </c>
      <c r="C21" s="76" t="str">
        <f>'WRA Worksheet'!C21</f>
        <v>?</v>
      </c>
      <c r="D21" s="82" t="str">
        <f>'WRA Worksheet'!D21</f>
        <v xml:space="preserve"> </v>
      </c>
    </row>
    <row r="22" spans="1:4" ht="15.95">
      <c r="A22" s="74">
        <v>4.07</v>
      </c>
      <c r="B22" s="75" t="s">
        <v>46</v>
      </c>
      <c r="C22" s="76" t="str">
        <f>'WRA Worksheet'!C22</f>
        <v>n</v>
      </c>
      <c r="D22" s="82">
        <f>'WRA Worksheet'!D22</f>
        <v>0</v>
      </c>
    </row>
    <row r="23" spans="1:4" ht="15.95">
      <c r="A23" s="74">
        <v>4.08</v>
      </c>
      <c r="B23" s="75" t="s">
        <v>47</v>
      </c>
      <c r="C23" s="76" t="str">
        <f>'WRA Worksheet'!C23</f>
        <v>?</v>
      </c>
      <c r="D23" s="82" t="str">
        <f>'WRA Worksheet'!D23</f>
        <v xml:space="preserve"> </v>
      </c>
    </row>
    <row r="24" spans="1:4" ht="15.95">
      <c r="A24" s="74">
        <v>4.09</v>
      </c>
      <c r="B24" s="75" t="s">
        <v>50</v>
      </c>
      <c r="C24" s="76" t="str">
        <f>'WRA Worksheet'!C24</f>
        <v>y</v>
      </c>
      <c r="D24" s="82">
        <f>'WRA Worksheet'!D24</f>
        <v>1</v>
      </c>
    </row>
    <row r="25" spans="1:4" ht="32.1">
      <c r="A25" s="74">
        <v>4.0999999999999996</v>
      </c>
      <c r="B25" s="80" t="s">
        <v>53</v>
      </c>
      <c r="C25" s="76" t="str">
        <f>'WRA Worksheet'!C25</f>
        <v>y</v>
      </c>
      <c r="D25" s="82">
        <f>'WRA Worksheet'!D25</f>
        <v>1</v>
      </c>
    </row>
    <row r="26" spans="1:4" ht="15.95">
      <c r="A26" s="74">
        <v>4.1100000000000003</v>
      </c>
      <c r="B26" s="75" t="s">
        <v>56</v>
      </c>
      <c r="C26" s="76" t="str">
        <f>'WRA Worksheet'!C26</f>
        <v>y</v>
      </c>
      <c r="D26" s="82">
        <f>'WRA Worksheet'!D26</f>
        <v>1</v>
      </c>
    </row>
    <row r="27" spans="1:4" ht="15.95">
      <c r="A27" s="74">
        <v>4.12</v>
      </c>
      <c r="B27" s="75" t="s">
        <v>58</v>
      </c>
      <c r="C27" s="76" t="str">
        <f>'WRA Worksheet'!C27</f>
        <v>?</v>
      </c>
      <c r="D27" s="82" t="str">
        <f>'WRA Worksheet'!D27</f>
        <v xml:space="preserve"> </v>
      </c>
    </row>
    <row r="28" spans="1:4" ht="15.95">
      <c r="A28" s="74">
        <v>5.01</v>
      </c>
      <c r="B28" s="75" t="s">
        <v>60</v>
      </c>
      <c r="C28" s="76" t="str">
        <f>'WRA Worksheet'!C28</f>
        <v>n</v>
      </c>
      <c r="D28" s="82">
        <f>'WRA Worksheet'!D28</f>
        <v>0</v>
      </c>
    </row>
    <row r="29" spans="1:4" ht="15.95">
      <c r="A29" s="74">
        <v>5.0199999999999996</v>
      </c>
      <c r="B29" s="75" t="s">
        <v>61</v>
      </c>
      <c r="C29" s="76" t="str">
        <f>'WRA Worksheet'!C29</f>
        <v>n</v>
      </c>
      <c r="D29" s="82">
        <f>'WRA Worksheet'!D29</f>
        <v>0</v>
      </c>
    </row>
    <row r="30" spans="1:4" ht="15.95">
      <c r="A30" s="74">
        <v>5.03</v>
      </c>
      <c r="B30" s="75" t="s">
        <v>63</v>
      </c>
      <c r="C30" s="76" t="str">
        <f>'WRA Worksheet'!C30</f>
        <v>n</v>
      </c>
      <c r="D30" s="82">
        <f>'WRA Worksheet'!D30</f>
        <v>0</v>
      </c>
    </row>
    <row r="31" spans="1:4" ht="15.95">
      <c r="A31" s="74">
        <v>5.04</v>
      </c>
      <c r="B31" s="75" t="s">
        <v>64</v>
      </c>
      <c r="C31" s="76" t="str">
        <f>'WRA Worksheet'!C31</f>
        <v>n</v>
      </c>
      <c r="D31" s="82">
        <f>'WRA Worksheet'!D31</f>
        <v>0</v>
      </c>
    </row>
    <row r="32" spans="1:4" ht="15.95">
      <c r="A32" s="74">
        <v>6.01</v>
      </c>
      <c r="B32" s="75" t="s">
        <v>65</v>
      </c>
      <c r="C32" s="76" t="str">
        <f>'WRA Worksheet'!C32</f>
        <v>n</v>
      </c>
      <c r="D32" s="82">
        <f>'WRA Worksheet'!D32</f>
        <v>0</v>
      </c>
    </row>
    <row r="33" spans="1:4" ht="15.95">
      <c r="A33" s="74">
        <v>6.02</v>
      </c>
      <c r="B33" s="75" t="s">
        <v>66</v>
      </c>
      <c r="C33" s="76" t="str">
        <f>'WRA Worksheet'!C33</f>
        <v>y</v>
      </c>
      <c r="D33" s="82">
        <f>'WRA Worksheet'!D33</f>
        <v>1</v>
      </c>
    </row>
    <row r="34" spans="1:4" ht="15.95">
      <c r="A34" s="74">
        <v>6.03</v>
      </c>
      <c r="B34" s="75" t="s">
        <v>69</v>
      </c>
      <c r="C34" s="76" t="str">
        <f>'WRA Worksheet'!C34</f>
        <v>?</v>
      </c>
      <c r="D34" s="82" t="str">
        <f>'WRA Worksheet'!D34</f>
        <v xml:space="preserve"> </v>
      </c>
    </row>
    <row r="35" spans="1:4" ht="15.95">
      <c r="A35" s="74">
        <v>6.04</v>
      </c>
      <c r="B35" s="75" t="s">
        <v>72</v>
      </c>
      <c r="C35" s="76" t="str">
        <f>'WRA Worksheet'!C35</f>
        <v>?</v>
      </c>
      <c r="D35" s="82" t="str">
        <f>'WRA Worksheet'!D35</f>
        <v xml:space="preserve"> </v>
      </c>
    </row>
    <row r="36" spans="1:4" ht="15.95">
      <c r="A36" s="74">
        <v>6.05</v>
      </c>
      <c r="B36" s="75" t="s">
        <v>73</v>
      </c>
      <c r="C36" s="76" t="str">
        <f>'WRA Worksheet'!C36</f>
        <v>n</v>
      </c>
      <c r="D36" s="82">
        <f>'WRA Worksheet'!D36</f>
        <v>0</v>
      </c>
    </row>
    <row r="37" spans="1:4" ht="15.95">
      <c r="A37" s="74">
        <v>6.06</v>
      </c>
      <c r="B37" s="75" t="s">
        <v>74</v>
      </c>
      <c r="C37" s="76" t="str">
        <f>'WRA Worksheet'!C37</f>
        <v>y</v>
      </c>
      <c r="D37" s="82">
        <f>'WRA Worksheet'!D37</f>
        <v>1</v>
      </c>
    </row>
    <row r="38" spans="1:4" ht="15.95">
      <c r="A38" s="74">
        <v>6.07</v>
      </c>
      <c r="B38" s="75" t="s">
        <v>77</v>
      </c>
      <c r="C38" s="81" t="str">
        <f>'WRA Worksheet'!C38</f>
        <v>?</v>
      </c>
      <c r="D38" s="82" t="str">
        <f>'WRA Worksheet'!D38</f>
        <v xml:space="preserve"> </v>
      </c>
    </row>
    <row r="39" spans="1:4" ht="32.1">
      <c r="A39" s="74">
        <v>7.01</v>
      </c>
      <c r="B39" s="75" t="s">
        <v>78</v>
      </c>
      <c r="C39" s="76" t="str">
        <f>'WRA Worksheet'!C39</f>
        <v>y</v>
      </c>
      <c r="D39" s="82">
        <f>'WRA Worksheet'!D39</f>
        <v>1</v>
      </c>
    </row>
    <row r="40" spans="1:4" ht="15.95">
      <c r="A40" s="74">
        <v>7.02</v>
      </c>
      <c r="B40" s="75" t="s">
        <v>81</v>
      </c>
      <c r="C40" s="76" t="str">
        <f>'WRA Worksheet'!C40</f>
        <v>y</v>
      </c>
      <c r="D40" s="82">
        <f>'WRA Worksheet'!D40</f>
        <v>1</v>
      </c>
    </row>
    <row r="41" spans="1:4" ht="15.95">
      <c r="A41" s="74">
        <v>7.03</v>
      </c>
      <c r="B41" s="75" t="s">
        <v>84</v>
      </c>
      <c r="C41" s="76" t="str">
        <f>'WRA Worksheet'!C41</f>
        <v>?</v>
      </c>
      <c r="D41" s="82" t="str">
        <f>'WRA Worksheet'!D41</f>
        <v xml:space="preserve"> </v>
      </c>
    </row>
    <row r="42" spans="1:4" ht="15.95">
      <c r="A42" s="74">
        <v>7.04</v>
      </c>
      <c r="B42" s="75" t="s">
        <v>86</v>
      </c>
      <c r="C42" s="76" t="str">
        <f>'WRA Worksheet'!C42</f>
        <v>n</v>
      </c>
      <c r="D42" s="82">
        <f>'WRA Worksheet'!D42</f>
        <v>-1</v>
      </c>
    </row>
    <row r="43" spans="1:4" ht="15.95">
      <c r="A43" s="74">
        <v>7.05</v>
      </c>
      <c r="B43" s="75" t="s">
        <v>87</v>
      </c>
      <c r="C43" s="76" t="str">
        <f>'WRA Worksheet'!C43</f>
        <v>y</v>
      </c>
      <c r="D43" s="82">
        <f>'WRA Worksheet'!D43</f>
        <v>1</v>
      </c>
    </row>
    <row r="44" spans="1:4" ht="15.95">
      <c r="A44" s="74">
        <v>7.06</v>
      </c>
      <c r="B44" s="75" t="s">
        <v>90</v>
      </c>
      <c r="C44" s="76" t="str">
        <f>'WRA Worksheet'!C44</f>
        <v>?</v>
      </c>
      <c r="D44" s="82" t="str">
        <f>'WRA Worksheet'!D44</f>
        <v xml:space="preserve"> </v>
      </c>
    </row>
    <row r="45" spans="1:4" ht="15.95">
      <c r="A45" s="74">
        <v>7.07</v>
      </c>
      <c r="B45" s="75" t="s">
        <v>92</v>
      </c>
      <c r="C45" s="76" t="str">
        <f>'WRA Worksheet'!C45</f>
        <v>?</v>
      </c>
      <c r="D45" s="82" t="str">
        <f>'WRA Worksheet'!D45</f>
        <v xml:space="preserve"> </v>
      </c>
    </row>
    <row r="46" spans="1:4" ht="15.95">
      <c r="A46" s="74">
        <v>7.08</v>
      </c>
      <c r="B46" s="75" t="s">
        <v>93</v>
      </c>
      <c r="C46" s="76" t="str">
        <f>'WRA Worksheet'!C46</f>
        <v>?</v>
      </c>
      <c r="D46" s="82" t="str">
        <f>'WRA Worksheet'!D46</f>
        <v xml:space="preserve"> </v>
      </c>
    </row>
    <row r="47" spans="1:4" ht="15.95">
      <c r="A47" s="74">
        <v>8.01</v>
      </c>
      <c r="B47" s="75" t="s">
        <v>94</v>
      </c>
      <c r="C47" s="76" t="str">
        <f>'WRA Worksheet'!C47</f>
        <v>n</v>
      </c>
      <c r="D47" s="82">
        <f>'WRA Worksheet'!D47</f>
        <v>-1</v>
      </c>
    </row>
    <row r="48" spans="1:4" ht="15.95">
      <c r="A48" s="74">
        <v>8.02</v>
      </c>
      <c r="B48" s="75" t="s">
        <v>97</v>
      </c>
      <c r="C48" s="76" t="str">
        <f>'WRA Worksheet'!C48</f>
        <v>?</v>
      </c>
      <c r="D48" s="82" t="str">
        <f>'WRA Worksheet'!D48</f>
        <v xml:space="preserve"> </v>
      </c>
    </row>
    <row r="49" spans="1:4" ht="15.95">
      <c r="A49" s="74">
        <v>8.0299999999999994</v>
      </c>
      <c r="B49" s="75" t="s">
        <v>98</v>
      </c>
      <c r="C49" s="76" t="str">
        <f>'WRA Worksheet'!C49</f>
        <v>n</v>
      </c>
      <c r="D49" s="82">
        <f>'WRA Worksheet'!D49</f>
        <v>1</v>
      </c>
    </row>
    <row r="50" spans="1:4" ht="15.95">
      <c r="A50" s="74">
        <v>8.0399999999999991</v>
      </c>
      <c r="B50" s="75" t="s">
        <v>101</v>
      </c>
      <c r="C50" s="76" t="str">
        <f>'WRA Worksheet'!C50</f>
        <v>y</v>
      </c>
      <c r="D50" s="82">
        <f>'WRA Worksheet'!D50</f>
        <v>1</v>
      </c>
    </row>
    <row r="51" spans="1:4" ht="15.95">
      <c r="A51" s="74">
        <v>8.0500000000000007</v>
      </c>
      <c r="B51" s="67" t="s">
        <v>103</v>
      </c>
      <c r="C51" s="76" t="str">
        <f>'WRA Worksheet'!C51</f>
        <v>?</v>
      </c>
      <c r="D51" s="82" t="str">
        <f>'WRA Worksheet'!D51</f>
        <v xml:space="preserve"> </v>
      </c>
    </row>
    <row r="52" spans="1:4" ht="15.95">
      <c r="A52" s="31"/>
      <c r="B52" s="32" t="s">
        <v>104</v>
      </c>
      <c r="C52" s="145">
        <f>'WRA Worksheet'!D53</f>
        <v>20</v>
      </c>
      <c r="D52" s="145"/>
    </row>
    <row r="53" spans="1:4" ht="15.95">
      <c r="A53" s="33"/>
      <c r="B53" s="34" t="s">
        <v>155</v>
      </c>
      <c r="C53" s="145" t="str" cm="1">
        <f t="array" ref="C53">IF(OR('WRA Worksheet'!C71:D71="yes", 'WRA Worksheet'!C72:D72="yes", 'WRA Worksheet'!C73:D73="yes"),"yes","no")</f>
        <v>no</v>
      </c>
      <c r="D53" s="145"/>
    </row>
    <row r="54" spans="1:4" ht="15.95">
      <c r="A54" s="33"/>
      <c r="B54" s="34" t="s">
        <v>156</v>
      </c>
      <c r="C54" s="145" t="str">
        <f>IF(C53="yes", 'WRA Worksheet'!C74, 'WRA Worksheet'!D54)</f>
        <v>reject</v>
      </c>
      <c r="D54" s="145"/>
    </row>
    <row r="55" spans="1:4" ht="15.95" thickBot="1">
      <c r="A55" s="35"/>
      <c r="B55" s="36"/>
      <c r="C55" s="36"/>
      <c r="D55" s="37"/>
    </row>
    <row r="56" spans="1:4" ht="30.95" thickTop="1">
      <c r="A56" s="38" t="s">
        <v>157</v>
      </c>
      <c r="B56" s="39" t="s">
        <v>158</v>
      </c>
      <c r="C56" s="40" t="s">
        <v>108</v>
      </c>
      <c r="D56" s="37"/>
    </row>
    <row r="57" spans="1:4">
      <c r="A57" s="41" t="s">
        <v>109</v>
      </c>
      <c r="B57" s="42">
        <f>'WRA Worksheet'!C57</f>
        <v>11</v>
      </c>
      <c r="C57" s="43" t="str">
        <f>IF(B57&gt;=2,"yes","no")</f>
        <v>yes</v>
      </c>
      <c r="D57" s="37"/>
    </row>
    <row r="58" spans="1:4">
      <c r="A58" s="41" t="s">
        <v>110</v>
      </c>
      <c r="B58" s="42">
        <f>'WRA Worksheet'!C58</f>
        <v>7</v>
      </c>
      <c r="C58" s="43" t="str">
        <f>IF(B58&gt;=2,"yes","no")</f>
        <v>yes</v>
      </c>
      <c r="D58" s="37"/>
    </row>
    <row r="59" spans="1:4">
      <c r="A59" s="41" t="s">
        <v>111</v>
      </c>
      <c r="B59" s="42">
        <f>'WRA Worksheet'!C59</f>
        <v>15</v>
      </c>
      <c r="C59" s="43" t="str">
        <f>IF(B59&gt;=6,"yes","no")</f>
        <v>yes</v>
      </c>
      <c r="D59" s="37"/>
    </row>
    <row r="60" spans="1:4" ht="15.95" thickBot="1">
      <c r="A60" s="44" t="s">
        <v>112</v>
      </c>
      <c r="B60" s="45">
        <f>'WRA Worksheet'!C60</f>
        <v>33</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t="str" cm="1">
        <f t="array" ref="B2:C50">'WRA Worksheet'!F3:G51</f>
        <v>No evidence</v>
      </c>
      <c r="C2" s="51">
        <v>0</v>
      </c>
    </row>
    <row r="3" spans="1:3">
      <c r="A3" s="30">
        <v>1.02</v>
      </c>
      <c r="B3" s="50">
        <v>0</v>
      </c>
      <c r="C3" s="50">
        <v>0</v>
      </c>
    </row>
    <row r="4" spans="1:3">
      <c r="A4" s="30">
        <v>1.03</v>
      </c>
      <c r="B4" s="50">
        <v>0</v>
      </c>
      <c r="C4" s="50">
        <v>0</v>
      </c>
    </row>
    <row r="5" spans="1:3" ht="32.1">
      <c r="A5" s="30">
        <v>2.0099999999999998</v>
      </c>
      <c r="B5" s="52" t="str">
        <v>See climate suitability map</v>
      </c>
      <c r="C5" s="53">
        <v>0</v>
      </c>
    </row>
    <row r="6" spans="1:3">
      <c r="A6" s="30">
        <v>2.02</v>
      </c>
      <c r="B6" s="53" t="str">
        <v>See climate suitability map</v>
      </c>
      <c r="C6" s="54">
        <v>0</v>
      </c>
    </row>
    <row r="7" spans="1:3">
      <c r="A7" s="30">
        <v>2.0299999999999998</v>
      </c>
      <c r="B7" s="54" t="str">
        <v>See climate suitability map</v>
      </c>
      <c r="C7" s="53">
        <v>0</v>
      </c>
    </row>
    <row r="8" spans="1:3" ht="15.95">
      <c r="A8" s="30">
        <v>2.04</v>
      </c>
      <c r="B8" s="51" t="str">
        <v>See climate suitability map</v>
      </c>
      <c r="C8" s="51">
        <v>0</v>
      </c>
    </row>
    <row r="9" spans="1:3" ht="80.099999999999994">
      <c r="A9" s="30">
        <v>2.0499999999999998</v>
      </c>
      <c r="B9" s="51" t="str">
        <v>Native to temperate/tropical Asia and Australia. Introduced to parts of the United States (1)</v>
      </c>
      <c r="C9" s="53" t="str">
        <v xml:space="preserve">[1] https://powo.science.kew.org/taxon/urn:lsid:ipni.org:names:60470155-2 [2] </v>
      </c>
    </row>
    <row r="10" spans="1:3" ht="63.95">
      <c r="A10" s="30">
        <v>3.01</v>
      </c>
      <c r="B10" s="51" t="str">
        <v>Naturalized in Alabama (1), Louisiana and other parts of SE USA (2) Considered invasive in North Carolina (3)</v>
      </c>
      <c r="C10" s="53" t="str">
        <v>[1] Hansen, C. J., &amp; Goertzen, L. R. (2006). Cayratia japonica (Vitaceae) naturalized in Alabama. Castanea, 71(3), 248-251. [2] https://floranorthamerica.org/Causonis_japonica [3] https://plants.ces.ncsu.edu/plants/causonis-japonica/</v>
      </c>
    </row>
    <row r="11" spans="1:3" ht="80.099999999999994">
      <c r="A11" s="30">
        <v>3.02</v>
      </c>
      <c r="B11" s="50" t="str">
        <v>"This plant prefers disturbed areas including harvested forests, fallow fields, overgrazed pastures, and residential areas. It also thrives in moist river bottoms and forest margins" (1) "Commonly found in disturbed sites, fringes of lowland and hilly dipterocarp forests and limestone vegetation areas." (2) "Bushkiller vine is probably one of the most despised weeds home gardeners and landscapers have to deal with on a continual basis in our area" (3)</v>
      </c>
      <c r="C11" s="53" t="str">
        <v>[1] https://galvbayinvasives.org/invasive/P-006 [2] https://www.nparks.gov.sg/florafaunaweb/flora/7/3/7389 [3] https://www.lsuagcenter.com/~/media/system/9/8/4/c/984c4a02648316b56f87e642cd0a84d3/june%202023pdf.pdf</v>
      </c>
    </row>
    <row r="12" spans="1:3" ht="32.1">
      <c r="A12" s="30">
        <v>3.03</v>
      </c>
      <c r="B12" s="50" t="str">
        <v>No evidence</v>
      </c>
      <c r="C12" s="53">
        <v>0</v>
      </c>
    </row>
    <row r="13" spans="1:3" ht="63.95">
      <c r="A13" s="30">
        <v>3.04</v>
      </c>
      <c r="B13" s="51" t="str">
        <v>"The vine is invasive and out-competes native plants and stresses native trees by blocking sunlight and breaking branches due to its weight" (1). "The weight of the fleshy vines can break tree branches. Foliage can be dense and block out sunlight from plants it grows on. It can also compete for other resources, such as weater". (2) "Immediate impacts include the ability of C. japonica to kill the plant it grows upon, by stressing it with its weight, blocking out sunlight, or competing for other resources." (3) ""This plant prefers disturbed areas including harvested forests, fallow fields, overgrazed pastures, and residential areas. It also thrives in moist river bottoms and forest margins" (4)</v>
      </c>
      <c r="C13" s="53" t="str">
        <v>[1] https://plants.ces.ncsu.edu/plants/causonis-japonica/ [2] https://www.gri.msstate.edu/publications/docs/2009/10/6554bushkiller_IPAMS.pdf (3) https://www.invasive.org/weedcd/pdfs/bushkiller.pdf [4] https://galvbayinvasives.org/invasive/P-006</v>
      </c>
    </row>
    <row r="14" spans="1:3" ht="32.1">
      <c r="A14" s="30">
        <v>3.05</v>
      </c>
      <c r="B14" s="51" t="str">
        <v>Causonis trifolia is a potential invasive (1) Causonis trifolia noted as being problematic in its native range in Sri Lanka. Descriptions match definition of weed "the most pressing concern is the spread of Causonis trifolia, as it causes a direct obstruction to the many water birds that reside in the park..." (2)</v>
      </c>
      <c r="C14" s="53" t="str">
        <v>[1] https://fsus.ncbg.unc.edu/main.php?pg=show-taxon-detail.php&amp;taxonid=68180 [2] https://mihidora.lk/project/habitatrestorationinkumananationalpark66b1aec57cb13</v>
      </c>
    </row>
    <row r="15" spans="1:3">
      <c r="A15" s="30">
        <v>4.01</v>
      </c>
      <c r="B15" s="50" t="str">
        <v>No evidence</v>
      </c>
      <c r="C15" s="55">
        <v>0</v>
      </c>
    </row>
    <row r="16" spans="1:3" ht="15.95">
      <c r="A16" s="30">
        <v>4.0199999999999996</v>
      </c>
      <c r="B16" s="51" t="str">
        <v>No studies found</v>
      </c>
      <c r="C16" s="51">
        <v>0</v>
      </c>
    </row>
    <row r="17" spans="1:3" ht="15.95">
      <c r="A17" s="30">
        <v>4.03</v>
      </c>
      <c r="B17" s="51" t="str">
        <v>No evidence</v>
      </c>
      <c r="C17" s="51">
        <v>0</v>
      </c>
    </row>
    <row r="18" spans="1:3" ht="80.099999999999994">
      <c r="A18" s="30">
        <v>4.04</v>
      </c>
      <c r="B18" s="51" t="str">
        <v>Not enough information found</v>
      </c>
      <c r="C18" s="51">
        <v>0</v>
      </c>
    </row>
    <row r="19" spans="1:3" ht="48">
      <c r="A19" s="30">
        <v>4.05</v>
      </c>
      <c r="B19" s="51" t="str">
        <v>No evidence</v>
      </c>
      <c r="C19" s="51">
        <v>0</v>
      </c>
    </row>
    <row r="20" spans="1:3" ht="63.95">
      <c r="A20" s="30">
        <v>4.0599999999999996</v>
      </c>
      <c r="B20" s="51" t="str">
        <v>Not enough information found</v>
      </c>
      <c r="C20" s="51">
        <v>0</v>
      </c>
    </row>
    <row r="21" spans="1:3" ht="15.95">
      <c r="A21" s="30">
        <v>4.07</v>
      </c>
      <c r="B21" s="51" t="str">
        <v>No evidence</v>
      </c>
      <c r="C21" s="51">
        <v>0</v>
      </c>
    </row>
    <row r="22" spans="1:3" ht="32.1">
      <c r="A22" s="30">
        <v>4.08</v>
      </c>
      <c r="B22" s="51" t="str">
        <v>Possible as it is a fast growing vine that can potentially serve as fire ladders (1). However, no direct evidence found.</v>
      </c>
      <c r="C22" s="53" t="str">
        <v>[1] https://texasinvasives.org/plant_database/detail.php?symbol=CAJA7</v>
      </c>
    </row>
    <row r="23" spans="1:3" ht="48">
      <c r="A23" s="30">
        <v>4.09</v>
      </c>
      <c r="B23" s="51" t="str">
        <v>Described as tolerating shade (1). "Grows equally well in sun or shade" (2)</v>
      </c>
      <c r="C23" s="51" t="str">
        <v>[1] https://plants.ces.ncsu.edu/plants/causonis-japonica/ [2] https://www.lsuagcenter.com/~/media/system/9/8/4/c/984c4a02648316b56f87e642cd0a84d3/june%202023pdf.pdf</v>
      </c>
    </row>
    <row r="24" spans="1:3" ht="32.1">
      <c r="A24" s="30">
        <v>4.0999999999999996</v>
      </c>
      <c r="B24" s="51" t="str">
        <v>Can tolerate clay, loam, and sand soils with good drainage / moist conditions (1) . Prefers sandy soils.</v>
      </c>
      <c r="C24" s="51" t="str">
        <v>[1] https://plants.ces.ncsu.edu/plants/causonis-japonica/ [2] https://indiabiodiversity.org/group/hyderabad_birdrace_2013/observation/show/18536650</v>
      </c>
    </row>
    <row r="25" spans="1:3" ht="15.95">
      <c r="A25" s="30">
        <v>4.1100000000000003</v>
      </c>
      <c r="B25" s="51" t="str">
        <v>Is a vine</v>
      </c>
      <c r="C25" s="51">
        <v>0</v>
      </c>
    </row>
    <row r="26" spans="1:3" ht="15.95">
      <c r="A26" s="30">
        <v>4.12</v>
      </c>
      <c r="B26" s="51" t="str">
        <v>Possible as it is a fast growing vine. However, no mention of this taxon growing in a way that obstrcuts movement.</v>
      </c>
      <c r="C26" s="51">
        <v>0</v>
      </c>
    </row>
    <row r="27" spans="1:3" ht="15.95">
      <c r="A27" s="30">
        <v>5.01</v>
      </c>
      <c r="B27" s="51" t="str">
        <v>No evidence</v>
      </c>
      <c r="C27" s="51">
        <v>0</v>
      </c>
    </row>
    <row r="28" spans="1:3" ht="15.95">
      <c r="A28" s="30">
        <v>5.0199999999999996</v>
      </c>
      <c r="B28" s="51" t="str">
        <v>Not of the Poaceae family</v>
      </c>
      <c r="C28" s="51">
        <v>0</v>
      </c>
    </row>
    <row r="29" spans="1:3" ht="15.95">
      <c r="A29" s="30">
        <v>5.03</v>
      </c>
      <c r="B29" s="51" t="str">
        <v>No evidence</v>
      </c>
      <c r="C29" s="51">
        <v>0</v>
      </c>
    </row>
    <row r="30" spans="1:3" ht="15.95">
      <c r="A30" s="30">
        <v>5.04</v>
      </c>
      <c r="B30" s="51" t="str">
        <v>No evidence</v>
      </c>
      <c r="C30" s="51">
        <v>0</v>
      </c>
    </row>
    <row r="31" spans="1:3" ht="27.95">
      <c r="A31" s="30">
        <v>6.01</v>
      </c>
      <c r="B31" s="50" t="str">
        <v>No evidence</v>
      </c>
      <c r="C31" s="51">
        <v>0</v>
      </c>
    </row>
    <row r="32" spans="1:3" ht="48">
      <c r="A32" s="30">
        <v>6.02</v>
      </c>
      <c r="B32" s="51" t="str">
        <v>Noted to not produce viable seeds in North Carolina, but seeds are present in its native range (1). Similar patern noted in Mississippi. "Despite an abundance of potential pollinators, bushkiller is apparently sterile. Normally bushkiller would produce a 2-4 seeded berry." (2)</v>
      </c>
      <c r="C32" s="51" t="str">
        <v>[1] https://plants.ces.ncsu.edu/plants/causonis-japonica/ [2] https://www.gri.msstate.edu/publications/docs/2009/10/6554bushkiller_IPAMS.pdf</v>
      </c>
    </row>
    <row r="33" spans="1:3" ht="48">
      <c r="A33" s="30">
        <v>6.03</v>
      </c>
      <c r="B33" s="51" t="str">
        <v>Shown to hybridize within its genus. (1) However, not known to produce viable seeds outside of its native range (2)</v>
      </c>
      <c r="C33" s="51" t="str">
        <v>[1] Ishikawa, N., Ikeda, H., Yi, T. S., Takabe-Ito, E., Okada, H., &amp; Tsukaya, H. (2014). Lineage diversification and hybridization in the Cayratia japonica–Cayratia tenuifolia species complex. Molecular Phylogenetics and Evolution, 75, 227-238. [2] https://plants.ces.ncsu.edu/plants/causonis-japonica/</v>
      </c>
    </row>
    <row r="34" spans="1:3" ht="32.1">
      <c r="A34" s="30">
        <v>6.04</v>
      </c>
      <c r="B34" s="51" t="str">
        <v>Not enough information found</v>
      </c>
      <c r="C34" s="51">
        <v>0</v>
      </c>
    </row>
    <row r="35" spans="1:3" ht="15.95">
      <c r="A35" s="30">
        <v>6.05</v>
      </c>
      <c r="B35" s="51" t="str">
        <v>No evidence</v>
      </c>
      <c r="C35" s="51">
        <v>0</v>
      </c>
    </row>
    <row r="36" spans="1:3" ht="15.95">
      <c r="A36" s="30">
        <v>6.06</v>
      </c>
      <c r="B36" s="51" t="str">
        <v>"Spreads vegetatively by rhizomes and adventitious roots when the roots are cut or disturbed" (1) Root fragments noted to readily regenerate (2)</v>
      </c>
      <c r="C36" s="51" t="str">
        <v>[1] https://plants.ces.ncsu.edu/plants/causonis-japonica/ [2] West et al. 2012, Fragment size and planting depth affect the regenerative capacity of bushkiller (Cayratia japonica); https://www.cabi.org/isc/abstract/20133036405</v>
      </c>
    </row>
    <row r="37" spans="1:3" ht="15.95">
      <c r="A37" s="30">
        <v>6.07</v>
      </c>
      <c r="B37" s="51" t="str">
        <v>Not enough information found</v>
      </c>
      <c r="C37" s="51">
        <v>0</v>
      </c>
    </row>
    <row r="38" spans="1:3" ht="80.099999999999994">
      <c r="A38" s="30">
        <v>7.01</v>
      </c>
      <c r="B38" s="51" t="str">
        <v>Taxon disperses easily through fragments. Therefore, it could easily be moved around unintentionally. Sometimes confused as Virginia creeper (1)</v>
      </c>
      <c r="C38" s="51" t="str">
        <v>[1] https://plants.ces.ncsu.edu/plants/causonis-japonica/</v>
      </c>
    </row>
    <row r="39" spans="1:3" ht="32.1">
      <c r="A39" s="30">
        <v>7.02</v>
      </c>
      <c r="B39" s="51" t="str">
        <v>"It has also been known to be spread by humans collecting and growing it as an ornamental." (1) Sold online (2)</v>
      </c>
      <c r="C39" s="51" t="str">
        <v>[1] https://www.lsuagcenter.com/~/media/system/9/8/4/c/984c4a02648316b56f87e642cd0a84d3/june%202023pdf.pdf [2] https://silksareforever.com/products/36-causonis-japonica-silk-flower-stem-white-pack-of-12?srsltid=AfmBOoqlAXlUNlssxHlYIhtE_yUldKZd76ox568I5Sv8nysEd6wnla-m</v>
      </c>
    </row>
    <row r="40" spans="1:3" ht="63.95">
      <c r="A40" s="30">
        <v>7.03</v>
      </c>
      <c r="B40" s="50" t="str">
        <v>Possible as taxon disperses easily through fragments. However, not enough information found.</v>
      </c>
      <c r="C40" s="51">
        <v>0</v>
      </c>
    </row>
    <row r="41" spans="1:3" ht="15.95">
      <c r="A41" s="30">
        <v>7.04</v>
      </c>
      <c r="B41" s="51" t="str">
        <v>No evidence</v>
      </c>
      <c r="C41" s="51">
        <v>0</v>
      </c>
    </row>
    <row r="42" spans="1:3" ht="15.95">
      <c r="A42" s="30">
        <v>7.05</v>
      </c>
      <c r="B42" s="51" t="str">
        <v>"It is thought that major weather wevents such as flooding and hurricanes are a major means of spreading..." (1)</v>
      </c>
      <c r="C42" s="51" t="str">
        <v>[1] https://www.lsuagcenter.com/~/media/system/9/8/4/c/984c4a02648316b56f87e642cd0a84d3/june%202023pdf.pdf</v>
      </c>
    </row>
    <row r="43" spans="1:3" ht="15.95">
      <c r="A43" s="30">
        <v>7.06</v>
      </c>
      <c r="B43" s="51" t="str">
        <v>Possible in its native range as fruits are typical of bird/animal endozoochoric dispersion. However, in the USA, fruits are not known to seed.</v>
      </c>
      <c r="C43" s="51" t="str">
        <v>[1] https://plants.ces.ncsu.edu/plants/causonis-japonica/ [2] https://www.gri.msstate.edu/publications/docs/2009/10/6554bushkiller_IPAMS.pdf</v>
      </c>
    </row>
    <row r="44" spans="1:3" ht="32.1">
      <c r="A44" s="30">
        <v>7.07</v>
      </c>
      <c r="B44" s="51" t="str">
        <v>Possible as taxon disperses easily through fragments. However, not enough information found.</v>
      </c>
      <c r="C44" s="51">
        <v>0</v>
      </c>
    </row>
    <row r="45" spans="1:3" ht="32.1">
      <c r="A45" s="30">
        <v>7.08</v>
      </c>
      <c r="B45" s="50" t="str">
        <v>Possible in its native range as fruits are typical of bird/animal endozoochoric dispersion. However, in the USA, fruits are not known to seed.</v>
      </c>
      <c r="C45" s="51" t="str">
        <v>[1] https://plants.ces.ncsu.edu/plants/causonis-japonica/ [2] https://www.gri.msstate.edu/publications/docs/2009/10/6554bushkiller_IPAMS.pdf</v>
      </c>
    </row>
    <row r="46" spans="1:3" ht="48">
      <c r="A46" s="30">
        <v>8.01</v>
      </c>
      <c r="B46" s="50" t="str">
        <v xml:space="preserve">Produces a 2-4 seeded berry in its native range. (1) </v>
      </c>
      <c r="C46" s="51" t="str">
        <v>[1] https://www.gri.msstate.edu/publications/docs/2009/10/6554bushkiller_IPAMS.pdf</v>
      </c>
    </row>
    <row r="47" spans="1:3" ht="48">
      <c r="A47" s="30">
        <v>8.02</v>
      </c>
      <c r="B47" s="51" t="str">
        <v>Not enough information found</v>
      </c>
      <c r="C47" s="51">
        <v>0</v>
      </c>
    </row>
    <row r="48" spans="1:3" ht="48">
      <c r="A48" s="30">
        <v>8.0299999999999994</v>
      </c>
      <c r="B48" s="51" t="str">
        <v>Shown to tolerate some herbicides in the field (1) Noted to be difficult to treat with herbicde. (2)</v>
      </c>
      <c r="C48" s="51" t="str">
        <v>[1] West AM, Richardson RJ, Gardner AP, Hoyle ST. Bushkiller (Cayratia
japonica) response to selected herbicides. Invasive Plant Sci Manag.
2011;4:73–7. [2] https://www.lsuagcenter.com/~/media/system/9/8/4/c/984c4a02648316b56f87e642cd0a84d3/june%202023pdf.pdf</v>
      </c>
    </row>
    <row r="49" spans="1:3" ht="48">
      <c r="A49" s="30">
        <v>8.0399999999999991</v>
      </c>
      <c r="B49" s="51" t="str">
        <v>"Spreads vegetatively by rhizomes and adventitious roots when the roots are cut or disturbed" (1) Root fragments readily regenerate (2)</v>
      </c>
      <c r="C49" s="51" t="str">
        <v>[1] https://plants.ces.ncsu.edu/plants/causonis-japonica/ [2] West et al. 2012, Fragment size and planting depth affect the regenerative capacity of bushkiller (Cayratia japonica); https://www.cabi.org/isc/abstract/20133036405</v>
      </c>
    </row>
    <row r="50" spans="1:3">
      <c r="A50" s="30">
        <v>8.0500000000000007</v>
      </c>
      <c r="B50" s="50" t="str">
        <v>Not enough information found</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ed89deecf2cef0fa57f2f32f9ab875cc">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7da826fe1df80d3d80045629bc1d07ef"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Props1.xml><?xml version="1.0" encoding="utf-8"?>
<ds:datastoreItem xmlns:ds="http://schemas.openxmlformats.org/officeDocument/2006/customXml" ds:itemID="{20B10EB1-BE96-4EEB-9C85-BB2FFDD07280}"/>
</file>

<file path=customXml/itemProps2.xml><?xml version="1.0" encoding="utf-8"?>
<ds:datastoreItem xmlns:ds="http://schemas.openxmlformats.org/officeDocument/2006/customXml" ds:itemID="{C72C3439-75BE-411A-8E6B-DF10E44BED25}"/>
</file>

<file path=customXml/itemProps3.xml><?xml version="1.0" encoding="utf-8"?>
<ds:datastoreItem xmlns:ds="http://schemas.openxmlformats.org/officeDocument/2006/customXml" ds:itemID="{624714E1-6774-437D-801A-4B8EB940739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2025-10-31T16:35:21Z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