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kimse\OneDrive\Desktop\UF\Species\Piper aduncum\Docs\"/>
    </mc:Choice>
  </mc:AlternateContent>
  <xr:revisionPtr revIDLastSave="0" documentId="13_ncr:1_{5B691EDE-564A-42D4-BF7E-809C1C67C878}" xr6:coauthVersionLast="47" xr6:coauthVersionMax="47" xr10:uidLastSave="{00000000-0000-0000-0000-000000000000}"/>
  <bookViews>
    <workbookView xWindow="-120" yWindow="-120" windowWidth="29040" windowHeight="15720" xr2:uid="{DC9EAAB9-A961-4D36-B025-37CCF3FD5897}"/>
  </bookViews>
  <sheets>
    <sheet name="WRA Worksheet" sheetId="1" r:id="rId1"/>
    <sheet name="LUT" sheetId="2" r:id="rId2"/>
    <sheet name="PDF Template Scoresheet" sheetId="3" r:id="rId3"/>
    <sheet name="PDF Template Refs &amp; Data" sheetId="4" r:id="rId4"/>
  </sheets>
  <definedNames>
    <definedName name="_xlnm._FilterDatabase" localSheetId="0" hidden="1">'WRA Worksheet'!$B$65:$C$67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4" i="3" s="1"/>
  <c r="A1" i="3"/>
  <c r="D71" i="1"/>
  <c r="D73" i="1"/>
  <c r="C74" i="1" s="1"/>
  <c r="C53" i="3" a="1"/>
  <c r="C53" i="3" s="1"/>
  <c r="D72" i="1"/>
  <c r="I26" i="2"/>
  <c r="I27" i="2"/>
  <c r="D3" i="1"/>
  <c r="D3" i="3" s="1"/>
  <c r="D5" i="1"/>
  <c r="D5" i="3" s="1"/>
  <c r="D8" i="1"/>
  <c r="D8" i="3" s="1"/>
  <c r="D9" i="1"/>
  <c r="D9" i="3" s="1"/>
  <c r="D11" i="1"/>
  <c r="D11" i="3" s="1"/>
  <c r="D12" i="1"/>
  <c r="D12" i="3" s="1"/>
  <c r="D13" i="1"/>
  <c r="D13" i="3" s="1"/>
  <c r="D14" i="1"/>
  <c r="D14" i="3" s="1"/>
  <c r="D15" i="1"/>
  <c r="D15" i="3" s="1"/>
  <c r="D16" i="1"/>
  <c r="D16" i="3" s="1"/>
  <c r="D17" i="1"/>
  <c r="D17" i="3" s="1"/>
  <c r="D18" i="1"/>
  <c r="D18" i="3" s="1"/>
  <c r="D19" i="1"/>
  <c r="D19" i="3" s="1"/>
  <c r="D20" i="1"/>
  <c r="D20" i="3" s="1"/>
  <c r="D21" i="1"/>
  <c r="D21" i="3" s="1"/>
  <c r="D22" i="1"/>
  <c r="D22" i="3" s="1"/>
  <c r="D23" i="1"/>
  <c r="D23" i="3" s="1"/>
  <c r="D24" i="1"/>
  <c r="D24" i="3" s="1"/>
  <c r="D25" i="1"/>
  <c r="D25" i="3" s="1"/>
  <c r="D26" i="1"/>
  <c r="D26" i="3" s="1"/>
  <c r="D27" i="1"/>
  <c r="D27" i="3" s="1"/>
  <c r="D28" i="1"/>
  <c r="D28" i="3" s="1"/>
  <c r="D29" i="1"/>
  <c r="D29" i="3" s="1"/>
  <c r="D30" i="1"/>
  <c r="D30" i="3" s="1"/>
  <c r="D31" i="1"/>
  <c r="D31" i="3" s="1"/>
  <c r="D32" i="1"/>
  <c r="D32" i="3" s="1"/>
  <c r="D33" i="1"/>
  <c r="D33" i="3" s="1"/>
  <c r="D34" i="1"/>
  <c r="D34" i="3" s="1"/>
  <c r="D35" i="1"/>
  <c r="D35" i="3" s="1"/>
  <c r="D36" i="1"/>
  <c r="D36" i="3" s="1"/>
  <c r="D37" i="1"/>
  <c r="D37" i="3" s="1"/>
  <c r="D38" i="1"/>
  <c r="D38" i="3" s="1"/>
  <c r="D39" i="1"/>
  <c r="D39" i="3" s="1"/>
  <c r="D40" i="1"/>
  <c r="D40" i="3" s="1"/>
  <c r="D41" i="1"/>
  <c r="D41" i="3" s="1"/>
  <c r="D42" i="1"/>
  <c r="D42" i="3" s="1"/>
  <c r="D43" i="1"/>
  <c r="D43" i="3" s="1"/>
  <c r="D44" i="1"/>
  <c r="D44" i="3" s="1"/>
  <c r="D45" i="1"/>
  <c r="D45" i="3" s="1"/>
  <c r="D46" i="1"/>
  <c r="D46" i="3" s="1"/>
  <c r="D47" i="1"/>
  <c r="D47" i="3" s="1"/>
  <c r="D48" i="1"/>
  <c r="D48" i="3" s="1"/>
  <c r="D49" i="1"/>
  <c r="D49" i="3" s="1"/>
  <c r="D50" i="1"/>
  <c r="D50" i="3" s="1"/>
  <c r="D51" i="1"/>
  <c r="D51" i="3" s="1"/>
  <c r="C57" i="1"/>
  <c r="B57" i="3" s="1"/>
  <c r="C57" i="3" s="1"/>
  <c r="C58" i="1"/>
  <c r="B58" i="3" s="1"/>
  <c r="C58" i="3" s="1"/>
  <c r="C59" i="1"/>
  <c r="B59" i="3" s="1"/>
  <c r="C59" i="3" s="1"/>
  <c r="B2" i="4" a="1"/>
  <c r="B2" i="4" s="1"/>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4" i="3"/>
  <c r="C5" i="3"/>
  <c r="C3" i="3"/>
  <c r="D59" i="1" l="1"/>
  <c r="D58" i="1"/>
  <c r="C60" i="3"/>
  <c r="C60" i="1"/>
  <c r="B60" i="3" s="1"/>
  <c r="D57" i="1"/>
  <c r="D53" i="1"/>
  <c r="D60" i="1" l="1"/>
  <c r="D54" i="1"/>
  <c r="C54" i="3" s="1"/>
  <c r="C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<sst xmlns="http://schemas.openxmlformats.org/spreadsheetml/2006/main" count="333" uniqueCount="169">
  <si>
    <t>Species:</t>
  </si>
  <si>
    <t>Piper aduncum aka spiked pepper, aduncum
Artanthe adunca (L.) Miq.
Artanthe adunca f. angustifolia Miq.
Artanthe cearensis Miq.
Artanthe celtidifolia (Kunth) Miq.
Artanthe elongata (Vahl) Miq.
Artanthe elongata f. brasiliensis Miq.
Artanthe elongata f. brasiliensis Miq.
Artanthe elongata f. glabrior Miq.
Artanthe galeottii Miq.
Artanthe galleoti Miq.
Artanthe granulosa Miq.
Artanthe vellozoana Miq.
Piper acutifolium var. membranaceum C. DC.
Piper aduncifolium Trel.
Piper aduncum var. aduncum
Piper aduncum var. laevifolium C. DC.
Piper anguillaespicum Trel.
Piper cardenasii Trel.
Piper celtidifolium Kunth
Piper disparispicum Trel.
Piper elongatifolium Trel.
Piper elongatum Vahl
Piper elongatum var. elongatum
Piper elongatum var. laevifolium (C. DC.) Trel.
Piper elongatum var. pampayacusum Trel.
Piper fatoanum C.DC.
Piper flavescens (C.DC.) Trel.
Piper guanaianum C. DC.
Piper herzogii C. DC.
Piper intersitum f. porcecitense Trel.
Piper kuntzei C. DC.
Piper lineatum var. hirtipetiolatum Trel.
Piper multinervium M.Martens &amp; Galeotti
Piper multinervium var. amplum Trel.
Piper multinervium var. flavicans Trel.
Piper multinervium var. hirsuticaule Trel.
Piper multinervium var. kantelolense Trel.
Piper multinervium var. paralense Trel.
Piper multinervium var. peracutum Trel.
Piper multinervium var. productipes Trel.
Piper multinervium var. protractifolium Trel.
Piper multinervium var. puberulipedunculum Trel.
Piper multinervium var. pubescenticaule Trel.
Piper multinervium var. skutchii Trel.
Piper multinervium var. telanum Trel.
Piper nonconformans Trel.
Piper oblanceolatum var. fragilicaule Trel.
Piper pseudovelutinum var. flavescens C.DC.
Piper purpurascens D. Dietr.
Piper reciprocum Trel.
Piper submolle Trel.
Steffensia adunca (L.) Kunth
Steffensia angustifolia Kunth
Steffensia celtidifolia (Kunth) Kunth
Steffensia elongata (Vahl) Kunth</t>
  </si>
  <si>
    <r>
      <rPr>
        <sz val="11"/>
        <color rgb="FF000000"/>
        <rFont val="Calibri"/>
      </rPr>
      <t>Assessment date:</t>
    </r>
    <r>
      <rPr>
        <sz val="11"/>
        <color rgb="FFFF0000"/>
        <rFont val="Calibri"/>
      </rPr>
      <t xml:space="preserve"> 01 July 2025</t>
    </r>
    <r>
      <rPr>
        <sz val="11"/>
        <color rgb="FF000000"/>
        <rFont val="Calibri"/>
      </rPr>
      <t xml:space="preserve"> Prepared by Cameron Deelstra</t>
    </r>
  </si>
  <si>
    <t>Number</t>
  </si>
  <si>
    <t>Question</t>
  </si>
  <si>
    <t>Answer</t>
  </si>
  <si>
    <t>Score</t>
  </si>
  <si>
    <t>Uncertainty</t>
  </si>
  <si>
    <t>Evidence</t>
  </si>
  <si>
    <t>Reference</t>
  </si>
  <si>
    <t>Is the species highly domesticated?</t>
  </si>
  <si>
    <t>n</t>
  </si>
  <si>
    <t>No evidence of cultivation to reduce weediness.</t>
  </si>
  <si>
    <t>Has the species become naturalised where grown?</t>
  </si>
  <si>
    <t>Does the species have weedy races?</t>
  </si>
  <si>
    <t>Species suited to Florida's USDA climate zones (1-low; 2-intermediate; 3-high)
       North Zone: suited to Zones 8, 9
       Central Zone: suited to Zones 9, 10
       South Zone: suited to Zone 10</t>
  </si>
  <si>
    <t>High climate suitability for all of Florida.</t>
  </si>
  <si>
    <t>See attached climate suitability map.</t>
  </si>
  <si>
    <t>Quality of climate match data (1-low; 2-intermediate; 3-high)</t>
  </si>
  <si>
    <t>Broad climate suitability (environmental versatility)</t>
  </si>
  <si>
    <t>y</t>
  </si>
  <si>
    <t>Native or naturalized in habitats with periodic inundation
       North Zone: mean annual precipitation 50-70 inches
       Central Zone: mean annual precipitation 40-60 inches
       South Zone: mean annual precipitation 40-60 inches</t>
  </si>
  <si>
    <t>"Lives in areas that receive from 1500 to greater than 4000mm of mean annual rainfall" (1) "These areas are typically tropical rainforests with average annual rainfall
approximately 60 to over 80 in (150 to over 200 cm)" (2)</t>
  </si>
  <si>
    <t>(1) https://www.iucngisd.org/gisd/speciesname/Piper+aduncum (2) http://www.hear.org/PIER/pdf/pohreports/piper_aduncum.pdf</t>
  </si>
  <si>
    <t>Does the species have a history of repeated introductions outside its natural range?</t>
  </si>
  <si>
    <t>Taxon has been introduced to Hawaii, Papua New Guinea, Fiji, Florida, etc (1)(2)(3)</t>
  </si>
  <si>
    <t>(1) https://www.gbif.org/species/3086337 (2) http://www.hear.org/PIER/pdf/pohreports/piper_aduncum.pdf (3) https://powo.science.kew.org/taxon/urn:lsid:ipni.org:names:680296-1</t>
  </si>
  <si>
    <t>Naturalized beyond native range</t>
  </si>
  <si>
    <t>Taxon has been introduced to and naturalized in many regions including Hawaii, Papua New Guinea, Fiji, Florida, etc (1)(2)(3)</t>
  </si>
  <si>
    <t>Garden/amenity/disturbance weed</t>
  </si>
  <si>
    <t>Taxon is noted to grow best in disturbed areas such as roadsides, gardens, and pastures; requiring full sun and bare earth. (1)(2)</t>
  </si>
  <si>
    <t>(1) http://www.hear.org/PIER/pdf/pohreports/piper_aduncum.pdf (2) https://www.iucngisd.org/gisd/speciesname/Piper+aduncum</t>
  </si>
  <si>
    <t>Weed of agriculture</t>
  </si>
  <si>
    <t>"it [P. aduncum] can become mixed with the kava (Piper methysticum) crop during harvesting, lowering its quality" (1) Taxon competes with crops causing economic harm. (2)</t>
  </si>
  <si>
    <t>(1) https://www.iucngisd.org/gisd/speciesname/Piper+aduncum (2)  https://www.cabidigitallibrary.org/doi/full/10.1079/cabicompendium.41354</t>
  </si>
  <si>
    <t>Environmental weed</t>
  </si>
  <si>
    <t>Taxon is noted to compete with and choke out surrounding native vegetation. (1)(2)</t>
  </si>
  <si>
    <t>(1) https://tropical.theferns.info/viewtropical.php?id=Piper+aduncum (2) http://www.hear.org/PIER/pdf/pohreports/piper_aduncum.pdf</t>
  </si>
  <si>
    <t>Congeneric weed</t>
  </si>
  <si>
    <t>P. aduncum is a member of genus piper, which is made up of thousands of species many of which are noted to be aggressive and weedy. (1)(2)</t>
  </si>
  <si>
    <t xml:space="preserve">(1) http://www.hear.org/PIER/pdf/pohreports/piper_aduncum.pdf (2) 
  Padmanaba, M., &amp; Sheil, D. (2014). Spread of the invasive alien species Piper Aduncum via logging roads in Borneo. Tropical Conservation Science, 7(1), 35–44. https://doi.org/10.1177/194008291400700108
</t>
  </si>
  <si>
    <t>Produces spines, thorns or burrs</t>
  </si>
  <si>
    <t>No description of these features.</t>
  </si>
  <si>
    <t>Allelopathic</t>
  </si>
  <si>
    <t>No evidence of allelopathic characteristics.</t>
  </si>
  <si>
    <t>Parasitic</t>
  </si>
  <si>
    <t>No evidence.</t>
  </si>
  <si>
    <t>Unpalatable to grazing animals</t>
  </si>
  <si>
    <t>Toxic to animals</t>
  </si>
  <si>
    <t>Host for recognised pests and pathogens</t>
  </si>
  <si>
    <t>Taxon has been found to infect crops of other Piper species with a known agricultural pathogen. (1)</t>
  </si>
  <si>
    <t xml:space="preserve">(1) Albuquerque, F. C. de; Hamada, M.; Duarte, M. L. R. (1997) Piper aduncum , new host of Nectria haematococca f.sp. piperis within wild Piper population in the Brazilian Amazon.[FT: Piper aduncum espécie nativa da Amazônia Brasileira, hospedeira de Nectria haematococca f.sp. piperis .] Fitopatologia Brasileira, 1997, Vol.22, No.2, pp.201-204, 6 ref.
</t>
  </si>
  <si>
    <t>Causes allergies or is otherwise toxic to humans</t>
  </si>
  <si>
    <t>Creates a fire hazard in natural ecosystems</t>
  </si>
  <si>
    <t>Is a shade tolerant plant at some stage of its life cycle</t>
  </si>
  <si>
    <t>Taxon is noted to be shade intolerant. (1)(2)</t>
  </si>
  <si>
    <t xml:space="preserve">(1) https://www.iucngisd.org/gisd/speciesname/Piper+aduncum (2) 
  Padmanaba, M., &amp; Sheil, D. (2014). Spread of the invasive alien species Piper Aduncum via logging roads in Borneo. Tropical Conservation Science, 7(1), 35–44. https://doi.org/10.1177/194008291400700108
</t>
  </si>
  <si>
    <t>Grows on infertile soils (oligotrophic, limerock, or excessively draining soils).  North &amp; Central Zones: infertile soils; South Zone: shallow limerock or Histisols.</t>
  </si>
  <si>
    <t xml:space="preserve">Taxon tolerates most soil types, but prefers wet/inundated soils. (1)(2)(3) "It colonizes most soil types, apart from excessively well-drained soils (where it only grows at the upper end of the rainfall range); dry soils; and salty soils" (1) </t>
  </si>
  <si>
    <t>(1) https://tropical.theferns.info/viewtropical.php?id=Piper+aduncum (2)  https://www.iucngisd.org/gisd/speciesname/Piper+aduncum (3) https://www.cabidigitallibrary.org/doi/full/10.1079/cabicompendium.41354</t>
  </si>
  <si>
    <t>Climbing or smothering growth habit</t>
  </si>
  <si>
    <t>Taxon is a shrub that does not exhibit smothering characteristics.</t>
  </si>
  <si>
    <t>Forms dense thickets</t>
  </si>
  <si>
    <t>"It is an invader of disturbed areas, where it is able to form thickets and spreads by sprouts and suckers." (1) Taxon forms dense thickets (2)</t>
  </si>
  <si>
    <t>Aquatic</t>
  </si>
  <si>
    <t>Taxon prefers wet soils but is not an aquatic plant.</t>
  </si>
  <si>
    <t>Grass</t>
  </si>
  <si>
    <t>Not of the Poaceae family</t>
  </si>
  <si>
    <t>Nitrogen fixing woody plant</t>
  </si>
  <si>
    <t>Is a woody plant but no evidence of nitrogen fixation. (1)</t>
  </si>
  <si>
    <t>(1) https://www.cabidigitallibrary.org/doi/full/10.1079/cabicompendium.41354</t>
  </si>
  <si>
    <t>Geophyte</t>
  </si>
  <si>
    <t xml:space="preserve"> Rhizomes present, but no evidence of other underground storage tissues</t>
  </si>
  <si>
    <t>Evidence of substantial reproductive failure in native habitat</t>
  </si>
  <si>
    <t>Produces viable seed</t>
  </si>
  <si>
    <t>"even small saplings often bore fertile structures." (1) Taxon produces viable seeds. (1)(2)</t>
  </si>
  <si>
    <t>(1) Padmanaba, M., &amp; Sheil, D. (2014). Spread of the invasive alien species Piper Aduncum via logging roads in Borneo. Tropical Conservation Science, 7(1), 35–44. https://doi.org/10.1177/194008291400700108 (2) http://www.hear.org/PIER/pdf/pohreports/piper_aduncum.pdf</t>
  </si>
  <si>
    <t>Hybridizes naturally</t>
  </si>
  <si>
    <t>Self-compatible or apomictic</t>
  </si>
  <si>
    <t>Requires specialist pollinators</t>
  </si>
  <si>
    <t>No evidence of specialist pollinators.</t>
  </si>
  <si>
    <t>Reproduction by vegetative propagation</t>
  </si>
  <si>
    <t>"It is an invader of disturbed areas, where it is able to form thickets and spreads by sprouts and suckers." (1) "forms a thicket through vegetative spread and is difficult to control as every piece needs to be removed" (2)</t>
  </si>
  <si>
    <t>Minimum generative time (years)</t>
  </si>
  <si>
    <t>?</t>
  </si>
  <si>
    <t>Fruits are mature at 70-80 days after flowering and plant reaches maturity at around 5 years, but more information is needed. (1)</t>
  </si>
  <si>
    <t>Propagules likely to be dispersed unintentionally (plants growing in heavily trafficked areas)</t>
  </si>
  <si>
    <t>"Thought to have been introduced to Fiji in packing materials at Suva port" (1) P. aduncum is commonly dispersed by machinery, such as logging equipment (2)</t>
  </si>
  <si>
    <t>(1) https://www.iucngisd.org/gisd/speciesname/Piper+aduncum (2) Padmanaba, M., &amp; Sheil, D. (2014). Spread of the invasive alien species Piper Aduncum via logging roads in Borneo. Tropical Conservation Science, 7(1), 35–44. https://doi.org/10.1177/194008291400700108</t>
  </si>
  <si>
    <t>Propagules dispersed intentionally by people</t>
  </si>
  <si>
    <t>Taxon introduced to new regions as an ornamental or to prevent soil erosion. (1)(2)</t>
  </si>
  <si>
    <t>(1) https://www.iucngisd.org/gisd/speciesname/Piper+aduncum (2) https://tropical.theferns.info/viewtropical.php?id=Piper+aduncum</t>
  </si>
  <si>
    <t>Propagules likely to disperse as a produce contaminant</t>
  </si>
  <si>
    <t>In some regions taxon is cultivated for food and medicinal use noted to be gathered from the surrounding landscape and sold locally. (1)(2)</t>
  </si>
  <si>
    <t>(1) https://tropical.theferns.info/viewtropical.php?id=Piper+aduncum (2) https://www.cabidigitallibrary.org/doi/full/10.1079/cabicompendium.41354</t>
  </si>
  <si>
    <t>Propagules adapted to wind dispersal</t>
  </si>
  <si>
    <t>Propagules water dispersed</t>
  </si>
  <si>
    <t>Propagules bird dispersed</t>
  </si>
  <si>
    <t xml:space="preserve">"In Fiji, the primary dispersal agent of P. aduncum seeds are redvented bulbuls (Pycnonotus cafer) and they are said to advance together on newly disturbed roads" (1) </t>
  </si>
  <si>
    <t>(1) http://www.hear.org/PIER/pdf/pohreports/piper_aduncum.pdf</t>
  </si>
  <si>
    <t>Propagules dispersed by other animals (externally)</t>
  </si>
  <si>
    <t>Propagules dispersed by other animals (internally)</t>
  </si>
  <si>
    <t>Prolific seed production</t>
  </si>
  <si>
    <t>Taxon is noted to produce a large number of propagules annually but density estimates are unknown. (1)</t>
  </si>
  <si>
    <t>(1) https://www.cabidigitallibrary.org/doi/full/10.1079/cabicompendium.41354 (2) https://www.iucngisd.org/gisd/speciesname/Piper+aduncum</t>
  </si>
  <si>
    <t>Evidence that a persistent propagule bank is formed (&gt;1 yr)</t>
  </si>
  <si>
    <t>Taxon is noted to be dominant in the seed bank with majority of seeds remaining viable for extended periods.</t>
  </si>
  <si>
    <t xml:space="preserve">(1) 
  Rogers, H. M., &amp; Hartemink, A. E. (2000). Soil seed bank and growth rates of an invasive species, Piper aduncum, in the lowlands of Papua New Guinea. Journal of Tropical Ecology, 16(2), 243–251. https://doi.org/10.1017/S0266467400001383
</t>
  </si>
  <si>
    <t>Well controlled by herbicides</t>
  </si>
  <si>
    <t>Taxon is commonly controlled with mechanical methods, but more information on the efficacy of herbicides is needed. (1)</t>
  </si>
  <si>
    <t>Tolerates, or benefits from, mutilation or cultivation</t>
  </si>
  <si>
    <t>Taxon grows vegetatively and benefits from cutting to spread plants locally. (1)(2)(3)</t>
  </si>
  <si>
    <t>(1) https://tropical.theferns.info/viewtropical.php?id=Piper+aduncum (2) https://www.cabidigitallibrary.org/doi/full/10.1079/cabicompendium.41354 (3) https://www.iucngisd.org/gisd/speciesname/Piper+aduncum</t>
  </si>
  <si>
    <t>Effective natural enemies present in U.S.</t>
  </si>
  <si>
    <t>Total Score</t>
  </si>
  <si>
    <t>Outcome</t>
  </si>
  <si>
    <t>Section</t>
  </si>
  <si>
    <t># of questions answered</t>
  </si>
  <si>
    <t>satisfy minimum?</t>
  </si>
  <si>
    <t>A</t>
  </si>
  <si>
    <t>B</t>
  </si>
  <si>
    <t>C</t>
  </si>
  <si>
    <t>total</t>
  </si>
  <si>
    <t>Do not complete unless the Outcome (cell D54) is "Evaluate Further"</t>
  </si>
  <si>
    <t xml:space="preserve">Secondary Screening </t>
  </si>
  <si>
    <t xml:space="preserve"> Taxon shade-tolerant or forms dense stands?</t>
  </si>
  <si>
    <t xml:space="preserve"> Taxon is clearly bird- or wind-dispersed?</t>
  </si>
  <si>
    <t xml:space="preserve"> Taxon's life cycle &lt;4 years?</t>
  </si>
  <si>
    <t xml:space="preserve"> Weed of cultivated land?</t>
  </si>
  <si>
    <t xml:space="preserve"> Unpalatable to grazing animals?</t>
  </si>
  <si>
    <t xml:space="preserve"> Forms dense stands/populations?</t>
  </si>
  <si>
    <t xml:space="preserve"> Taxon a tree or tree-like shrub?</t>
  </si>
  <si>
    <t xml:space="preserve"> Taxon herbaceous or a low-growing shrub?</t>
  </si>
  <si>
    <t xml:space="preserve"> Taxon a vine or liana?</t>
  </si>
  <si>
    <t>Secondary Screening result:</t>
  </si>
  <si>
    <t>Scorecard</t>
  </si>
  <si>
    <t>Lookup Table A1:</t>
  </si>
  <si>
    <t>N Score</t>
  </si>
  <si>
    <t>Y Score</t>
  </si>
  <si>
    <t>Locate value of inputs and lookup output for each question</t>
  </si>
  <si>
    <r>
      <rPr>
        <b/>
        <sz val="11"/>
        <color theme="1"/>
        <rFont val="Calibri"/>
        <family val="2"/>
        <scheme val="minor"/>
      </rPr>
      <t>A</t>
    </r>
    <r>
      <rPr>
        <sz val="11"/>
        <color theme="1"/>
        <rFont val="Calibri"/>
        <family val="2"/>
        <scheme val="minor"/>
      </rPr>
      <t xml:space="preserve"> C</t>
    </r>
  </si>
  <si>
    <r>
      <t xml:space="preserve">                                         </t>
    </r>
    <r>
      <rPr>
        <b/>
        <i/>
        <sz val="11"/>
        <color theme="1"/>
        <rFont val="Calibri"/>
        <family val="2"/>
        <scheme val="minor"/>
      </rPr>
      <t xml:space="preserve"> Yes</t>
    </r>
    <r>
      <rPr>
        <sz val="11"/>
        <color theme="1"/>
        <rFont val="Calibri"/>
        <family val="2"/>
        <scheme val="minor"/>
      </rPr>
      <t xml:space="preserve"> to questions 3.01-3.05</t>
    </r>
  </si>
  <si>
    <t>default</t>
  </si>
  <si>
    <t>Inputs</t>
  </si>
  <si>
    <t>The response to qestions 2.01 and 2.02 is 2 unless a climate analysis is done</t>
  </si>
  <si>
    <t>Results</t>
  </si>
  <si>
    <t>Refer to lookup Table A1</t>
  </si>
  <si>
    <r>
      <t xml:space="preserve">       </t>
    </r>
    <r>
      <rPr>
        <b/>
        <i/>
        <sz val="11"/>
        <color theme="1"/>
        <rFont val="Calibri"/>
        <family val="2"/>
        <scheme val="minor"/>
      </rPr>
      <t xml:space="preserve">  No</t>
    </r>
    <r>
      <rPr>
        <sz val="11"/>
        <color theme="1"/>
        <rFont val="Calibri"/>
        <family val="2"/>
        <scheme val="minor"/>
      </rPr>
      <t xml:space="preserve"> to questions 3.01-3.02</t>
    </r>
  </si>
  <si>
    <t>E</t>
  </si>
  <si>
    <t xml:space="preserve">Input </t>
  </si>
  <si>
    <t>N</t>
  </si>
  <si>
    <t>Y</t>
  </si>
  <si>
    <t>3.02-3.05</t>
  </si>
  <si>
    <r>
      <rPr>
        <b/>
        <sz val="11"/>
        <color theme="1"/>
        <rFont val="Calibri"/>
        <family val="2"/>
        <scheme val="minor"/>
      </rPr>
      <t>B</t>
    </r>
    <r>
      <rPr>
        <sz val="11"/>
        <color theme="1"/>
        <rFont val="Calibri"/>
        <family val="2"/>
        <scheme val="minor"/>
      </rPr>
      <t xml:space="preserve"> C</t>
    </r>
  </si>
  <si>
    <t>Lookup Table for 6.07</t>
  </si>
  <si>
    <t>Years</t>
  </si>
  <si>
    <t>Lookup for Secondary Screening (Vine/Liana Only)</t>
  </si>
  <si>
    <t>Test 1:</t>
  </si>
  <si>
    <t>Test 2:</t>
  </si>
  <si>
    <r>
      <rPr>
        <b/>
        <sz val="11"/>
        <color theme="1"/>
        <rFont val="Calibri"/>
        <family val="2"/>
        <scheme val="minor"/>
      </rPr>
      <t>C</t>
    </r>
    <r>
      <rPr>
        <sz val="11"/>
        <color theme="1"/>
        <rFont val="Calibri"/>
        <family val="2"/>
        <scheme val="minor"/>
      </rPr>
      <t xml:space="preserve"> E</t>
    </r>
  </si>
  <si>
    <t>Refer to lookup Table A3</t>
  </si>
  <si>
    <t>ZONES</t>
  </si>
  <si>
    <r>
      <t xml:space="preserve">Genus species </t>
    </r>
    <r>
      <rPr>
        <b/>
        <sz val="14"/>
        <rFont val="Calibri"/>
        <family val="2"/>
        <scheme val="minor"/>
      </rPr>
      <t xml:space="preserve">(common name) </t>
    </r>
  </si>
  <si>
    <t>Species suited to Florida's USDA climate zones (0-low; 1-intermediate; 2-high)
       North Zone: suited to Zones 8, 9
       Central Zone: suited to Zones 9, 10
       South Zone: suited to Zone 10</t>
  </si>
  <si>
    <t>Quality of climate match data (0-low; 1-intermediate; 2-high)</t>
  </si>
  <si>
    <t xml:space="preserve">Implemented Pacific Second Screening </t>
  </si>
  <si>
    <t>Risk Assessment Results</t>
  </si>
  <si>
    <t>section</t>
  </si>
  <si>
    <t># questions answered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</si>
</sst>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scheme val="minor"/>
    </font>
    <font>
      <b/>
      <sz val="11"/>
      <color theme="1"/>
      <name val="Calibri"/>
      <family val="2"/>
      <scheme val="minor"/>
    </font>
    <font>
      <b/>
      <sz val="11"/>
      <color theme="1" tint="0.499984740745262"/>
      <name val="Calibri"/>
      <family val="2"/>
      <scheme val="minor"/>
    </font>
    <font>
      <sz val="8"/>
      <color theme="1"/>
      <name val="Calibri"/>
      <family val="2"/>
      <scheme val="minor"/>
    </font>
    <font>
      <sz val="7"/>
      <color theme="1"/>
      <name val="Calibri"/>
      <family val="2"/>
      <scheme val="minor"/>
    </font>
    <font>
      <b/>
      <i/>
      <sz val="11"/>
      <color theme="1"/>
      <name val="Calibri"/>
      <family val="2"/>
      <scheme val="minor"/>
    </font>
    <font>
      <b/>
      <sz val="11"/>
      <name val="Calibri"/>
      <family val="2"/>
      <scheme val="minor"/>
    </font>
    <font>
      <sz val="11"/>
      <color rgb="FFFF0000"/>
      <name val="Calibri"/>
      <family val="2"/>
      <scheme val="minor"/>
    </font>
    <font>
      <sz val="12"/>
      <name val="Calibri"/>
      <family val="2"/>
      <scheme val="minor"/>
    </font>
    <font>
      <b/>
      <i/>
      <sz val="14"/>
      <name val="Calibri"/>
      <family val="2"/>
      <scheme val="minor"/>
    </font>
    <font>
      <sz val="11"/>
      <color indexed="8"/>
      <name val="Calibri"/>
      <family val="2"/>
      <scheme val="minor"/>
    </font>
    <font>
      <sz val="9"/>
      <color indexed="8"/>
      <name val="Helvetica"/>
      <family val="2"/>
    </font>
    <font>
      <sz val="11"/>
      <name val="Calibri"/>
      <family val="2"/>
      <scheme val="minor"/>
    </font>
    <font>
      <b/>
      <sz val="11"/>
      <color indexed="8"/>
      <name val="Calibri"/>
      <family val="2"/>
      <scheme val="minor"/>
    </font>
    <font>
      <b/>
      <sz val="9"/>
      <color indexed="8"/>
      <name val="Helvetica"/>
      <family val="2"/>
    </font>
    <font>
      <b/>
      <sz val="9"/>
      <name val="Arial"/>
      <family val="2"/>
    </font>
    <font>
      <b/>
      <sz val="10"/>
      <name val="Calibri"/>
      <family val="2"/>
      <scheme val="minor"/>
    </font>
    <font>
      <sz val="9"/>
      <name val="Arial"/>
      <family val="2"/>
    </font>
    <font>
      <sz val="10"/>
      <name val="Calibri"/>
      <family val="2"/>
      <scheme val="minor"/>
    </font>
    <font>
      <b/>
      <sz val="14"/>
      <name val="Calibri"/>
      <family val="2"/>
      <scheme val="minor"/>
    </font>
    <font>
      <sz val="10"/>
      <name val="Arial"/>
      <family val="2"/>
    </font>
    <font>
      <sz val="11"/>
      <name val="Calibri"/>
      <family val="2"/>
    </font>
    <font>
      <sz val="11"/>
      <name val="Arial"/>
      <family val="2"/>
    </font>
    <font>
      <sz val="10"/>
      <name val="Calibri"/>
      <family val="2"/>
    </font>
    <font>
      <b/>
      <sz val="12"/>
      <color theme="4"/>
      <name val="Arial"/>
      <family val="2"/>
    </font>
    <font>
      <sz val="10"/>
      <color theme="1"/>
      <name val="Calibri"/>
      <family val="2"/>
    </font>
    <font>
      <b/>
      <sz val="11"/>
      <color rgb="FFFF0000"/>
      <name val="Calibri"/>
      <family val="2"/>
      <scheme val="minor"/>
    </font>
    <font>
      <sz val="11"/>
      <color rgb="FF000000"/>
      <name val="Calibri"/>
    </font>
    <font>
      <sz val="11"/>
      <color rgb="FFFF0000"/>
      <name val="Calibri"/>
    </font>
    <font>
      <sz val="11"/>
      <color theme="1"/>
      <name val="Calibri"/>
    </font>
  </fonts>
  <fills count="7">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38">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top/>
      <bottom style="double">
        <color theme="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s>
  <cellStyleXfs count="1">
    <xf numFmtId="0" fontId="0" fillId="0" borderId="0" applyProtection="0"/>
  </cellStyleXfs>
  <cellXfs count="155">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9" xfId="0" applyBorder="1"/>
    <xf numFmtId="0" fontId="0" fillId="0" borderId="20" xfId="0" applyBorder="1"/>
    <xf numFmtId="0" fontId="0" fillId="0" borderId="21" xfId="0" applyBorder="1"/>
    <xf numFmtId="0" fontId="0" fillId="0" borderId="15" xfId="0" applyBorder="1" applyAlignment="1">
      <alignment horizontal="center"/>
    </xf>
    <xf numFmtId="0" fontId="0" fillId="0" borderId="0" xfId="0" applyAlignment="1">
      <alignment horizontal="center" vertical="center"/>
    </xf>
    <xf numFmtId="0" fontId="0" fillId="0" borderId="15" xfId="0" applyBorder="1" applyAlignment="1">
      <alignment horizontal="center" vertical="center"/>
    </xf>
    <xf numFmtId="0" fontId="0" fillId="0" borderId="0" xfId="0" applyAlignment="1">
      <alignment horizontal="center"/>
    </xf>
    <xf numFmtId="0" fontId="0" fillId="0" borderId="20"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2" fillId="0" borderId="15" xfId="0" applyFont="1" applyBorder="1" applyAlignment="1">
      <alignment horizontal="center"/>
    </xf>
    <xf numFmtId="0" fontId="2" fillId="0" borderId="0" xfId="0" applyFont="1" applyAlignment="1" applyProtection="1">
      <alignment horizontal="center" vertical="top"/>
      <protection locked="0"/>
    </xf>
    <xf numFmtId="0" fontId="2" fillId="0" borderId="0" xfId="0" applyFont="1" applyAlignment="1" applyProtection="1">
      <alignment horizontal="center" vertical="top" wrapText="1"/>
    </xf>
    <xf numFmtId="0" fontId="2" fillId="0" borderId="4" xfId="0" applyFont="1" applyBorder="1" applyAlignment="1" applyProtection="1">
      <alignment wrapText="1"/>
    </xf>
    <xf numFmtId="0" fontId="0" fillId="0" borderId="23" xfId="0" applyBorder="1" applyAlignment="1" applyProtection="1">
      <alignment horizontal="center" vertical="center" wrapText="1"/>
    </xf>
    <xf numFmtId="0" fontId="0" fillId="0" borderId="6" xfId="0" applyBorder="1" applyAlignment="1" applyProtection="1">
      <alignment horizontal="center" vertical="center" wrapText="1"/>
    </xf>
    <xf numFmtId="0" fontId="2" fillId="0" borderId="2" xfId="0" applyFont="1" applyBorder="1" applyAlignment="1" applyProtection="1">
      <alignment wrapText="1"/>
    </xf>
    <xf numFmtId="0" fontId="2" fillId="0" borderId="3" xfId="0" applyFont="1" applyBorder="1" applyAlignment="1" applyProtection="1">
      <alignment wrapText="1"/>
    </xf>
    <xf numFmtId="0" fontId="0" fillId="0" borderId="0" xfId="0" applyAlignment="1" applyProtection="1">
      <alignment horizontal="center" vertical="center" wrapText="1"/>
    </xf>
    <xf numFmtId="0" fontId="2" fillId="0" borderId="5" xfId="0" applyFont="1" applyBorder="1" applyAlignment="1" applyProtection="1">
      <alignment wrapText="1"/>
    </xf>
    <xf numFmtId="0" fontId="0" fillId="0" borderId="1" xfId="0" applyBorder="1" applyAlignment="1" applyProtection="1">
      <alignment horizontal="center" vertical="center" wrapText="1"/>
    </xf>
    <xf numFmtId="0" fontId="2" fillId="0" borderId="0" xfId="0" applyFont="1" applyAlignment="1" applyProtection="1">
      <alignment wrapText="1"/>
    </xf>
    <xf numFmtId="0" fontId="2" fillId="0" borderId="22" xfId="0" applyFont="1" applyBorder="1" applyAlignment="1" applyProtection="1">
      <alignment wrapText="1"/>
    </xf>
    <xf numFmtId="0" fontId="7" fillId="0" borderId="22" xfId="0" applyFont="1" applyBorder="1" applyAlignment="1" applyProtection="1">
      <alignment wrapText="1"/>
    </xf>
    <xf numFmtId="2" fontId="11" fillId="0" borderId="29" xfId="0" applyNumberFormat="1" applyFont="1" applyBorder="1" applyAlignment="1">
      <alignment horizontal="left" vertical="top" wrapText="1"/>
    </xf>
    <xf numFmtId="2" fontId="12" fillId="5" borderId="29" xfId="0" applyNumberFormat="1" applyFont="1" applyFill="1" applyBorder="1" applyAlignment="1">
      <alignment horizontal="left" vertical="top" wrapText="1"/>
    </xf>
    <xf numFmtId="0" fontId="14" fillId="5" borderId="29" xfId="0" applyFont="1" applyFill="1" applyBorder="1" applyAlignment="1">
      <alignment vertical="top" wrapText="1"/>
    </xf>
    <xf numFmtId="0" fontId="13" fillId="5" borderId="29" xfId="0" applyFont="1" applyFill="1" applyBorder="1" applyAlignment="1">
      <alignment horizontal="left" vertical="top" wrapText="1"/>
    </xf>
    <xf numFmtId="0" fontId="7" fillId="5" borderId="29" xfId="0" applyFont="1" applyFill="1" applyBorder="1" applyAlignment="1">
      <alignment vertical="top" wrapText="1"/>
    </xf>
    <xf numFmtId="2" fontId="11" fillId="0" borderId="0" xfId="0" applyNumberFormat="1" applyFont="1" applyAlignment="1">
      <alignment horizontal="right" vertical="top" wrapText="1"/>
    </xf>
    <xf numFmtId="0" fontId="11" fillId="0" borderId="0" xfId="0" applyFont="1" applyAlignment="1">
      <alignment vertical="top" wrapText="1"/>
    </xf>
    <xf numFmtId="0" fontId="13" fillId="0" borderId="0" xfId="0" applyFont="1"/>
    <xf numFmtId="0" fontId="15" fillId="0" borderId="2" xfId="0" applyFont="1" applyBorder="1" applyAlignment="1">
      <alignment vertical="top" wrapText="1"/>
    </xf>
    <xf numFmtId="0" fontId="16" fillId="0" borderId="3" xfId="0" applyFont="1" applyBorder="1" applyAlignment="1">
      <alignment wrapText="1"/>
    </xf>
    <xf numFmtId="0" fontId="17" fillId="0" borderId="4" xfId="0" applyFont="1" applyBorder="1" applyAlignment="1">
      <alignment wrapText="1"/>
    </xf>
    <xf numFmtId="0" fontId="18" fillId="0" borderId="22" xfId="0" applyFont="1" applyBorder="1"/>
    <xf numFmtId="0" fontId="18" fillId="0" borderId="0" xfId="0" applyFont="1"/>
    <xf numFmtId="0" fontId="19" fillId="0" borderId="23" xfId="0" applyFont="1" applyBorder="1"/>
    <xf numFmtId="0" fontId="18" fillId="0" borderId="5" xfId="0" applyFont="1" applyBorder="1"/>
    <xf numFmtId="0" fontId="18" fillId="0" borderId="1" xfId="0" applyFont="1" applyBorder="1"/>
    <xf numFmtId="0" fontId="19" fillId="0" borderId="6" xfId="0" applyFont="1" applyBorder="1"/>
    <xf numFmtId="0" fontId="7" fillId="4" borderId="29" xfId="0" applyFont="1" applyFill="1" applyBorder="1" applyAlignment="1">
      <alignment horizontal="center" wrapText="1"/>
    </xf>
    <xf numFmtId="0" fontId="7" fillId="4" borderId="29" xfId="0" applyFont="1" applyFill="1" applyBorder="1" applyAlignment="1">
      <alignment horizontal="center" vertical="top"/>
    </xf>
    <xf numFmtId="0" fontId="7" fillId="4" borderId="29" xfId="0" applyFont="1" applyFill="1" applyBorder="1" applyAlignment="1">
      <alignment horizontal="center" vertical="top" wrapText="1"/>
    </xf>
    <xf numFmtId="0" fontId="21" fillId="0" borderId="29" xfId="0" applyFont="1" applyBorder="1" applyAlignment="1">
      <alignment vertical="center" wrapText="1"/>
    </xf>
    <xf numFmtId="0" fontId="0" fillId="0" borderId="29" xfId="0" applyBorder="1" applyAlignment="1">
      <alignment vertical="center" wrapText="1"/>
    </xf>
    <xf numFmtId="0" fontId="22" fillId="0" borderId="29" xfId="0" applyFont="1" applyBorder="1" applyAlignment="1">
      <alignment vertical="center" wrapText="1"/>
    </xf>
    <xf numFmtId="0" fontId="13" fillId="0" borderId="29" xfId="0" applyFont="1" applyBorder="1" applyAlignment="1">
      <alignment vertical="center" wrapText="1"/>
    </xf>
    <xf numFmtId="0" fontId="23" fillId="0" borderId="29" xfId="0" applyFont="1" applyBorder="1" applyAlignment="1">
      <alignment vertical="center" wrapText="1"/>
    </xf>
    <xf numFmtId="0" fontId="24" fillId="0" borderId="29" xfId="0" applyFont="1" applyBorder="1" applyAlignment="1">
      <alignment vertical="center" wrapText="1"/>
    </xf>
    <xf numFmtId="0" fontId="0" fillId="0" borderId="0" xfId="0" applyAlignment="1" applyProtection="1">
      <alignment wrapText="1"/>
      <protection locked="0"/>
    </xf>
    <xf numFmtId="0" fontId="0" fillId="3" borderId="24" xfId="0" applyFill="1" applyBorder="1" applyAlignment="1" applyProtection="1">
      <alignment wrapText="1"/>
      <protection locked="0"/>
    </xf>
    <xf numFmtId="0" fontId="0" fillId="0" borderId="0" xfId="0" applyProtection="1">
      <protection locked="0"/>
    </xf>
    <xf numFmtId="0" fontId="0" fillId="0" borderId="0" xfId="0" applyAlignment="1" applyProtection="1">
      <alignment wrapText="1"/>
    </xf>
    <xf numFmtId="0" fontId="0" fillId="3" borderId="0" xfId="0" applyFill="1" applyAlignment="1" applyProtection="1">
      <alignment wrapText="1"/>
    </xf>
    <xf numFmtId="0" fontId="0" fillId="0" borderId="4" xfId="0" applyBorder="1" applyAlignment="1" applyProtection="1">
      <alignment horizontal="center" vertical="center" wrapText="1"/>
    </xf>
    <xf numFmtId="0" fontId="0" fillId="3" borderId="25" xfId="0" applyFill="1" applyBorder="1" applyAlignment="1" applyProtection="1">
      <alignment wrapText="1"/>
      <protection locked="0"/>
    </xf>
    <xf numFmtId="0" fontId="0" fillId="0" borderId="26" xfId="0" applyBorder="1" applyAlignment="1" applyProtection="1">
      <alignment wrapText="1"/>
      <protection locked="0"/>
    </xf>
    <xf numFmtId="0" fontId="0" fillId="0" borderId="0" xfId="0" applyAlignment="1" applyProtection="1">
      <alignment horizontal="left" vertical="top" wrapText="1"/>
      <protection locked="0"/>
    </xf>
    <xf numFmtId="0" fontId="0" fillId="3" borderId="24" xfId="0" applyFill="1" applyBorder="1" applyProtection="1">
      <protection locked="0"/>
    </xf>
    <xf numFmtId="2" fontId="11" fillId="0" borderId="0" xfId="0" applyNumberFormat="1" applyFont="1" applyAlignment="1" applyProtection="1">
      <alignment horizontal="right" vertical="top" wrapText="1"/>
    </xf>
    <xf numFmtId="0" fontId="11" fillId="0" borderId="0" xfId="0" applyFont="1" applyAlignment="1" applyProtection="1">
      <alignment vertical="top" wrapText="1"/>
    </xf>
    <xf numFmtId="0" fontId="13" fillId="0" borderId="0" xfId="0" applyFont="1" applyAlignment="1" applyProtection="1">
      <alignment vertical="top" wrapText="1"/>
    </xf>
    <xf numFmtId="0" fontId="2" fillId="0" borderId="2"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0" fillId="0" borderId="14" xfId="0" applyBorder="1" applyProtection="1"/>
    <xf numFmtId="0" fontId="2" fillId="3" borderId="30" xfId="0" applyFont="1" applyFill="1" applyBorder="1" applyAlignment="1" applyProtection="1">
      <alignment horizontal="right"/>
    </xf>
    <xf numFmtId="0" fontId="7" fillId="4" borderId="29" xfId="0" applyFont="1" applyFill="1" applyBorder="1" applyAlignment="1" applyProtection="1">
      <alignment horizontal="center" vertical="center" wrapText="1"/>
    </xf>
    <xf numFmtId="2" fontId="11" fillId="0" borderId="29" xfId="0" applyNumberFormat="1" applyFont="1" applyBorder="1" applyAlignment="1" applyProtection="1">
      <alignment horizontal="left" vertical="top" wrapText="1"/>
    </xf>
    <xf numFmtId="0" fontId="11" fillId="0" borderId="10" xfId="0" applyFont="1" applyBorder="1" applyAlignment="1" applyProtection="1">
      <alignment vertical="top" wrapText="1"/>
    </xf>
    <xf numFmtId="0" fontId="12" fillId="0" borderId="29" xfId="0" applyFont="1" applyBorder="1" applyAlignment="1" applyProtection="1">
      <alignment horizontal="center" vertical="top" wrapText="1"/>
    </xf>
    <xf numFmtId="0" fontId="12" fillId="0" borderId="0" xfId="0" applyFont="1" applyAlignment="1" applyProtection="1">
      <alignment vertical="center" wrapText="1"/>
    </xf>
    <xf numFmtId="0" fontId="12" fillId="0" borderId="0" xfId="0" applyFont="1" applyAlignment="1" applyProtection="1">
      <alignment vertical="top" wrapText="1"/>
    </xf>
    <xf numFmtId="0" fontId="0" fillId="0" borderId="29" xfId="0" applyBorder="1" applyAlignment="1" applyProtection="1">
      <alignment horizontal="center" vertical="top" wrapText="1"/>
    </xf>
    <xf numFmtId="0" fontId="13" fillId="0" borderId="10" xfId="0" applyFont="1" applyBorder="1" applyAlignment="1" applyProtection="1">
      <alignment vertical="top" wrapText="1"/>
    </xf>
    <xf numFmtId="16" fontId="12" fillId="0" borderId="29" xfId="0" applyNumberFormat="1" applyFont="1" applyBorder="1" applyAlignment="1" applyProtection="1">
      <alignment horizontal="center" vertical="top" wrapText="1"/>
    </xf>
    <xf numFmtId="0" fontId="0" fillId="0" borderId="29" xfId="0" applyBorder="1" applyAlignment="1" applyProtection="1">
      <alignment horizontal="center"/>
    </xf>
    <xf numFmtId="0" fontId="0" fillId="3" borderId="29" xfId="0" applyFill="1" applyBorder="1" applyAlignment="1" applyProtection="1">
      <alignment horizontal="center"/>
    </xf>
    <xf numFmtId="16" fontId="0" fillId="0" borderId="0" xfId="0" applyNumberFormat="1" applyAlignment="1" applyProtection="1">
      <alignment wrapText="1"/>
      <protection locked="0"/>
    </xf>
    <xf numFmtId="0" fontId="8" fillId="0" borderId="0" xfId="0" applyFont="1" applyAlignment="1" applyProtection="1">
      <alignment wrapText="1"/>
      <protection locked="0"/>
    </xf>
    <xf numFmtId="0" fontId="11" fillId="0" borderId="0" xfId="0" applyFont="1" applyAlignment="1" applyProtection="1">
      <alignment vertical="top" wrapText="1"/>
      <protection locked="0"/>
    </xf>
    <xf numFmtId="2" fontId="11" fillId="0" borderId="0" xfId="0" applyNumberFormat="1" applyFont="1" applyAlignment="1" applyProtection="1">
      <alignment horizontal="right" vertical="top" wrapText="1"/>
      <protection locked="0"/>
    </xf>
    <xf numFmtId="0" fontId="3" fillId="3" borderId="24" xfId="0" applyFont="1" applyFill="1" applyBorder="1" applyAlignment="1" applyProtection="1">
      <alignment horizontal="center" vertical="top" wrapText="1"/>
    </xf>
    <xf numFmtId="0" fontId="0" fillId="0" borderId="15" xfId="0" applyBorder="1" applyAlignment="1" applyProtection="1">
      <alignment horizontal="center"/>
    </xf>
    <xf numFmtId="0" fontId="0" fillId="0" borderId="21" xfId="0" applyBorder="1" applyAlignment="1" applyProtection="1">
      <alignment horizontal="center"/>
    </xf>
    <xf numFmtId="0" fontId="0" fillId="0" borderId="19" xfId="0" applyBorder="1" applyProtection="1"/>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0" fillId="0" borderId="0" xfId="0" applyAlignment="1" applyProtection="1">
      <alignment horizontal="center" vertical="center"/>
      <protection locked="0"/>
    </xf>
    <xf numFmtId="0" fontId="0" fillId="0" borderId="37" xfId="0" applyBorder="1" applyAlignment="1">
      <alignment horizontal="center"/>
    </xf>
    <xf numFmtId="0" fontId="0" fillId="0" borderId="19" xfId="0" applyBorder="1" applyAlignment="1">
      <alignment horizontal="center"/>
    </xf>
    <xf numFmtId="0" fontId="0" fillId="0" borderId="15" xfId="0" applyBorder="1" applyAlignment="1" applyProtection="1">
      <alignment horizontal="center" vertical="center"/>
    </xf>
    <xf numFmtId="0" fontId="25" fillId="5" borderId="28" xfId="0" applyFont="1" applyFill="1" applyBorder="1" applyAlignment="1" applyProtection="1">
      <alignment horizontal="left" vertical="center"/>
      <protection locked="0"/>
    </xf>
    <xf numFmtId="0" fontId="21" fillId="0" borderId="0" xfId="0" applyFont="1" applyAlignment="1" applyProtection="1">
      <alignment wrapText="1"/>
      <protection locked="0"/>
    </xf>
    <xf numFmtId="0" fontId="26" fillId="6" borderId="0" xfId="0" applyFont="1" applyFill="1" applyAlignment="1" applyProtection="1">
      <alignment wrapText="1"/>
      <protection locked="0"/>
    </xf>
    <xf numFmtId="0" fontId="27" fillId="0" borderId="0" xfId="0" applyFont="1" applyAlignment="1" applyProtection="1">
      <alignment horizontal="center" vertical="top" wrapText="1"/>
      <protection locked="0"/>
    </xf>
    <xf numFmtId="0" fontId="30" fillId="0" borderId="0" xfId="0" applyFont="1" applyAlignment="1" applyProtection="1">
      <alignment wrapText="1"/>
      <protection locked="0"/>
    </xf>
    <xf numFmtId="0" fontId="1" fillId="0" borderId="0" xfId="0" applyFont="1" applyAlignment="1" applyProtection="1">
      <alignment horizontal="left" vertical="top" wrapText="1"/>
      <protection locked="0"/>
    </xf>
    <xf numFmtId="0" fontId="0" fillId="3" borderId="32" xfId="0" applyFill="1" applyBorder="1" applyAlignment="1" applyProtection="1">
      <alignment horizontal="center"/>
    </xf>
    <xf numFmtId="0" fontId="0" fillId="3" borderId="31" xfId="0" applyFill="1" applyBorder="1" applyAlignment="1" applyProtection="1">
      <alignment horizontal="center"/>
    </xf>
    <xf numFmtId="0" fontId="0" fillId="0" borderId="0" xfId="0" applyAlignment="1" applyProtection="1">
      <alignment horizontal="center"/>
      <protection locked="0"/>
    </xf>
    <xf numFmtId="0" fontId="0" fillId="0" borderId="15" xfId="0" applyBorder="1" applyAlignment="1" applyProtection="1">
      <alignment horizontal="center"/>
      <protection locked="0"/>
    </xf>
    <xf numFmtId="0" fontId="2" fillId="0" borderId="20" xfId="0" applyFont="1" applyBorder="1" applyAlignment="1" applyProtection="1">
      <alignment horizontal="center" wrapText="1"/>
      <protection locked="0"/>
    </xf>
    <xf numFmtId="0" fontId="2" fillId="2" borderId="30" xfId="0" applyFont="1" applyFill="1" applyBorder="1" applyAlignment="1" applyProtection="1">
      <alignment horizontal="center" wrapText="1"/>
    </xf>
    <xf numFmtId="0" fontId="2" fillId="2" borderId="32" xfId="0" applyFont="1" applyFill="1" applyBorder="1" applyAlignment="1" applyProtection="1">
      <alignment horizontal="center" wrapText="1"/>
    </xf>
    <xf numFmtId="0" fontId="2" fillId="2" borderId="31" xfId="0" applyFont="1" applyFill="1" applyBorder="1" applyAlignment="1" applyProtection="1">
      <alignment horizont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4" xfId="0" applyBorder="1" applyAlignment="1">
      <alignment vertical="top"/>
    </xf>
    <xf numFmtId="0" fontId="0" fillId="0" borderId="19" xfId="0" applyBorder="1" applyAlignment="1">
      <alignment vertical="top"/>
    </xf>
    <xf numFmtId="0" fontId="0" fillId="0" borderId="1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5" fillId="2" borderId="7"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7" xfId="0" applyFill="1" applyBorder="1" applyAlignment="1">
      <alignment horizontal="center" vertical="center" wrapText="1"/>
    </xf>
    <xf numFmtId="0" fontId="4" fillId="2" borderId="10" xfId="0" applyFont="1" applyFill="1" applyBorder="1" applyAlignment="1">
      <alignment horizontal="center"/>
    </xf>
    <xf numFmtId="0" fontId="4" fillId="2" borderId="18" xfId="0" applyFont="1" applyFill="1" applyBorder="1" applyAlignment="1">
      <alignment horizontal="center"/>
    </xf>
    <xf numFmtId="0" fontId="0" fillId="0" borderId="14" xfId="0" applyBorder="1"/>
    <xf numFmtId="0" fontId="0" fillId="0" borderId="0" xfId="0"/>
    <xf numFmtId="0" fontId="0" fillId="0" borderId="15" xfId="0" applyBorder="1"/>
    <xf numFmtId="0" fontId="0" fillId="0" borderId="14" xfId="0" applyBorder="1" applyAlignment="1">
      <alignment horizontal="left" vertical="top"/>
    </xf>
    <xf numFmtId="0" fontId="0" fillId="0" borderId="0" xfId="0" applyAlignment="1">
      <alignment horizontal="lef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3" xfId="0" applyBorder="1"/>
    <xf numFmtId="0" fontId="0" fillId="0" borderId="16" xfId="0" applyBorder="1"/>
    <xf numFmtId="0" fontId="0" fillId="0" borderId="20" xfId="0" applyBorder="1"/>
    <xf numFmtId="0" fontId="0" fillId="0" borderId="21" xfId="0" applyBorder="1"/>
    <xf numFmtId="0" fontId="10" fillId="4" borderId="10" xfId="0" applyFont="1" applyFill="1" applyBorder="1" applyAlignment="1" applyProtection="1">
      <alignment horizontal="center" vertical="center" wrapText="1"/>
    </xf>
    <xf numFmtId="0" fontId="10" fillId="4" borderId="28" xfId="0" applyFont="1" applyFill="1" applyBorder="1" applyAlignment="1" applyProtection="1">
      <alignment horizontal="center" vertical="center" wrapText="1"/>
    </xf>
    <xf numFmtId="0" fontId="7" fillId="5" borderId="29" xfId="0" applyFont="1" applyFill="1" applyBorder="1" applyAlignment="1">
      <alignment horizontal="center" vertical="top" wrapText="1"/>
    </xf>
    <xf numFmtId="0" fontId="9" fillId="0" borderId="10" xfId="0" applyFont="1" applyBorder="1" applyAlignment="1" applyProtection="1">
      <alignment horizontal="left"/>
    </xf>
    <xf numFmtId="0" fontId="9" fillId="0" borderId="27" xfId="0" applyFont="1" applyBorder="1" applyAlignment="1" applyProtection="1">
      <alignment horizontal="left"/>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142876</xdr:rowOff>
    </xdr:from>
    <xdr:to>
      <xdr:col>2</xdr:col>
      <xdr:colOff>19050</xdr:colOff>
      <xdr:row>0</xdr:row>
      <xdr:rowOff>1130127</xdr:rowOff>
    </xdr:to>
    <xdr:pic>
      <xdr:nvPicPr>
        <xdr:cNvPr id="3" name="Picture 2" descr="Screen Shot 2015-03-11 at 10.50.32 AM.png">
          <a:extLst>
            <a:ext uri="{FF2B5EF4-FFF2-40B4-BE49-F238E27FC236}">
              <a16:creationId xmlns:a16="http://schemas.microsoft.com/office/drawing/2014/main" id="{625CA487-A7E6-4CD2-8D94-2F6184FF0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142876"/>
          <a:ext cx="4048125" cy="98725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30ED-15D9-4079-BE3B-A424EDD1BAFC}">
  <dimension ref="A1:H107"/>
  <sheetViews>
    <sheetView tabSelected="1" topLeftCell="A48" zoomScale="125" zoomScaleNormal="125" workbookViewId="0">
      <pane xSplit="1" topLeftCell="B1" activePane="topRight" state="frozen"/>
      <selection pane="topRight" activeCell="F53" sqref="F53"/>
    </sheetView>
  </sheetViews>
  <sheetFormatPr defaultColWidth="9.140625" defaultRowHeight="15" x14ac:dyDescent="0.25"/>
  <cols>
    <col min="1" max="1" width="9" style="58" customWidth="1"/>
    <col min="2" max="2" width="45.42578125" style="58" customWidth="1"/>
    <col min="3" max="3" width="12.42578125" style="58" customWidth="1"/>
    <col min="4" max="4" width="9.42578125" style="58" bestFit="1" customWidth="1"/>
    <col min="5" max="5" width="12.28515625" style="65" hidden="1" customWidth="1"/>
    <col min="6" max="6" width="61.42578125" style="58" customWidth="1"/>
    <col min="7" max="7" width="43.28515625" style="58" customWidth="1"/>
    <col min="8" max="8" width="27.140625" style="85" customWidth="1"/>
    <col min="9" max="16384" width="9.140625" style="58"/>
  </cols>
  <sheetData>
    <row r="1" spans="1:8" ht="30" customHeight="1" x14ac:dyDescent="0.25">
      <c r="A1" s="27" t="s">
        <v>0</v>
      </c>
      <c r="B1" s="85" t="s">
        <v>1</v>
      </c>
      <c r="C1" s="56"/>
      <c r="D1" s="56"/>
      <c r="E1" s="57"/>
      <c r="F1" s="102" t="s">
        <v>2</v>
      </c>
      <c r="G1" s="56"/>
    </row>
    <row r="2" spans="1:8" s="17" customFormat="1" ht="30.75" customHeight="1" x14ac:dyDescent="0.25">
      <c r="A2" s="18" t="s">
        <v>3</v>
      </c>
      <c r="B2" s="18" t="s">
        <v>4</v>
      </c>
      <c r="C2" s="18" t="s">
        <v>5</v>
      </c>
      <c r="D2" s="18" t="s">
        <v>6</v>
      </c>
      <c r="E2" s="88" t="s">
        <v>7</v>
      </c>
      <c r="F2" s="18" t="s">
        <v>8</v>
      </c>
      <c r="G2" s="18" t="s">
        <v>9</v>
      </c>
      <c r="H2" s="101"/>
    </row>
    <row r="3" spans="1:8" x14ac:dyDescent="0.25">
      <c r="A3" s="66">
        <v>1.01</v>
      </c>
      <c r="B3" s="67" t="s">
        <v>10</v>
      </c>
      <c r="C3" s="56" t="s">
        <v>11</v>
      </c>
      <c r="D3" s="59">
        <f>IF(C3="Y",-3,IF(C3="N",0," "))</f>
        <v>0</v>
      </c>
      <c r="E3" s="57"/>
      <c r="F3" s="99" t="s">
        <v>12</v>
      </c>
      <c r="G3" s="64"/>
    </row>
    <row r="4" spans="1:8" ht="30" x14ac:dyDescent="0.25">
      <c r="A4" s="66">
        <v>1.02</v>
      </c>
      <c r="B4" s="67" t="s">
        <v>13</v>
      </c>
      <c r="C4" s="56"/>
      <c r="D4" s="59" t="str">
        <f>IF(C4="n",VLOOKUP(LUT!C5,LUT!C4:E52,2),IF(C4="y",VLOOKUP(LUT!C5,LUT!C4:E52,3)," "))</f>
        <v xml:space="preserve"> </v>
      </c>
      <c r="E4" s="57"/>
      <c r="F4" s="64"/>
      <c r="G4" s="64"/>
    </row>
    <row r="5" spans="1:8" x14ac:dyDescent="0.25">
      <c r="A5" s="66">
        <v>1.03</v>
      </c>
      <c r="B5" s="67" t="s">
        <v>14</v>
      </c>
      <c r="C5" s="56"/>
      <c r="D5" s="59" t="str">
        <f>IF(C5="Y",1,IF(C5="N",-1," "))</f>
        <v xml:space="preserve"> </v>
      </c>
      <c r="E5" s="57"/>
      <c r="F5" s="64"/>
      <c r="G5" s="64"/>
    </row>
    <row r="6" spans="1:8" ht="75" x14ac:dyDescent="0.25">
      <c r="A6" s="66">
        <v>2.0099999999999998</v>
      </c>
      <c r="B6" s="67" t="s">
        <v>15</v>
      </c>
      <c r="C6" s="56">
        <v>3</v>
      </c>
      <c r="D6" s="60"/>
      <c r="E6" s="57"/>
      <c r="F6" s="99" t="s">
        <v>16</v>
      </c>
      <c r="G6" s="64" t="s">
        <v>17</v>
      </c>
    </row>
    <row r="7" spans="1:8" ht="30" x14ac:dyDescent="0.25">
      <c r="A7" s="66">
        <v>2.02</v>
      </c>
      <c r="B7" s="67" t="s">
        <v>18</v>
      </c>
      <c r="C7" s="56">
        <v>3</v>
      </c>
      <c r="D7" s="60"/>
      <c r="E7" s="57"/>
      <c r="F7" s="64" t="s">
        <v>17</v>
      </c>
      <c r="G7" s="64"/>
    </row>
    <row r="8" spans="1:8" ht="30" x14ac:dyDescent="0.25">
      <c r="A8" s="66">
        <v>2.0299999999999998</v>
      </c>
      <c r="B8" s="67" t="s">
        <v>19</v>
      </c>
      <c r="C8" s="56" t="s">
        <v>20</v>
      </c>
      <c r="D8" s="59">
        <f>IF(C8="y",1,IF(C8="n",0," "))</f>
        <v>1</v>
      </c>
      <c r="E8" s="57"/>
      <c r="F8" s="64" t="s">
        <v>17</v>
      </c>
      <c r="G8" s="99"/>
    </row>
    <row r="9" spans="1:8" ht="120" x14ac:dyDescent="0.25">
      <c r="A9" s="66">
        <v>2.04</v>
      </c>
      <c r="B9" s="67" t="s">
        <v>21</v>
      </c>
      <c r="C9" s="56" t="s">
        <v>20</v>
      </c>
      <c r="D9" s="59">
        <f>IF(C9="y",1,IF(C9="n",0," "))</f>
        <v>1</v>
      </c>
      <c r="E9" s="57"/>
      <c r="F9" s="99" t="s">
        <v>22</v>
      </c>
      <c r="G9" s="99" t="s">
        <v>23</v>
      </c>
    </row>
    <row r="10" spans="1:8" ht="75" x14ac:dyDescent="0.25">
      <c r="A10" s="66">
        <v>2.0499999999999998</v>
      </c>
      <c r="B10" s="67" t="s">
        <v>24</v>
      </c>
      <c r="C10" s="56" t="s">
        <v>20</v>
      </c>
      <c r="D10" s="60"/>
      <c r="E10" s="57"/>
      <c r="F10" s="56" t="s">
        <v>25</v>
      </c>
      <c r="G10" s="56" t="s">
        <v>26</v>
      </c>
    </row>
    <row r="11" spans="1:8" ht="75" x14ac:dyDescent="0.25">
      <c r="A11" s="66">
        <v>3.01</v>
      </c>
      <c r="B11" s="67" t="s">
        <v>27</v>
      </c>
      <c r="C11" s="56" t="s">
        <v>20</v>
      </c>
      <c r="D11" s="59">
        <f>IF(C11="n",LOOKUP($C$10,LUT!$I$13:$L$13,LUT!$I$14:$L$14),IF(AND(C11="y",AND($C$6=1,$C$7=1)),2,IF(AND(C11="y",AND($C$6=1,$C$7=2)),1,IF(AND(C11="y",AND($C$6=1,$C$7=3)),1,IF(AND(C11="y",AND($C$6=2,$C$7=1)),2,IF(AND(C11="y",AND($C$6=2,$C$7=2)),2,IF(AND(C11="y",AND($C$6=2,$C$7=3)),1,IF(AND(C11="y",AND($C$6=3,$C$7=1)),2,IF(AND(C11="y",AND($C$6=3,$C$7=2)),2,IF(AND(C11="y",AND($C$6=3,$C$7=3)),2,""))))))))))</f>
        <v>2</v>
      </c>
      <c r="E11" s="57"/>
      <c r="F11" s="56" t="s">
        <v>28</v>
      </c>
      <c r="G11" s="56" t="s">
        <v>26</v>
      </c>
    </row>
    <row r="12" spans="1:8" ht="75" x14ac:dyDescent="0.25">
      <c r="A12" s="66">
        <v>3.02</v>
      </c>
      <c r="B12" s="67" t="s">
        <v>29</v>
      </c>
      <c r="C12" s="56" t="s">
        <v>20</v>
      </c>
      <c r="D12" s="59">
        <f>IF(C12="n",LOOKUP($C$10,LUT!$I$13:$L$13,LUT!$I$15:$L$15),IF(AND(C12="y",AND($C$6=1,$C$7=1)),2,IF(AND(C12="y",AND($C$6=1,$C$7=2)),1,IF(AND(C12="y",AND($C$6=1,$C$7=3)),1,IF(AND(C12="y",AND($C$6=2,$C$7=1)),2,IF(AND(C12="y",AND($C$6=2,$C$7=2)),2,IF(AND(C12="y",AND($C$6=2,$C$7=3)),1,IF(AND(C12="y",AND($C$6=3,$C$7=1)),2,IF(AND(C12="y",AND($C$6=3,$C$7=2)),2,IF(AND(C12="y",AND($C$6=3,$C$7=3)),2,""))))))))))</f>
        <v>2</v>
      </c>
      <c r="E12" s="57"/>
      <c r="F12" s="100" t="s">
        <v>30</v>
      </c>
      <c r="G12" s="56" t="s">
        <v>31</v>
      </c>
    </row>
    <row r="13" spans="1:8" ht="75" x14ac:dyDescent="0.25">
      <c r="A13" s="66">
        <v>3.03</v>
      </c>
      <c r="B13" s="67" t="s">
        <v>32</v>
      </c>
      <c r="C13" s="56" t="s">
        <v>20</v>
      </c>
      <c r="D13" s="59">
        <f>IF(C13="n",LOOKUP($C$10,LUT!$I$13:$L$13,LUT!$I$15:$L$15),IF(AND(C13="y",AND($C$6=1,$C$7=1)),4,IF(AND(C13="y",AND($C$6=1,$C$7=2)),2,IF(AND(C13="y",AND($C$6=1,$C$7=3)),1,IF(AND(C13="y",AND($C$6=2,$C$7=1)),4,IF(AND(C13="y",AND($C$6=2,$C$7=2)),3,IF(AND(C13="y",AND($C$6=2,$C$7=3)),2,IF(AND(C13="y",AND($C$6=3,$C$7=1)),4,IF(AND(C13="y",AND($C$6=3,$C$7=2)),4,IF(AND(C13="y",AND($C$6=3,$C$7=3)),4,""))))))))))</f>
        <v>4</v>
      </c>
      <c r="E13" s="57"/>
      <c r="F13" s="100" t="s">
        <v>33</v>
      </c>
      <c r="G13" s="64" t="s">
        <v>34</v>
      </c>
    </row>
    <row r="14" spans="1:8" ht="75" x14ac:dyDescent="0.25">
      <c r="A14" s="66">
        <v>3.04</v>
      </c>
      <c r="B14" s="67" t="s">
        <v>35</v>
      </c>
      <c r="C14" s="56" t="s">
        <v>20</v>
      </c>
      <c r="D14" s="59">
        <f>IF(C14="n",LOOKUP($C$10,LUT!$I$13:$L$13,LUT!$I$15:$L$15),IF(AND(C14="y",AND($C$6=1,$C$7=1)),4,IF(AND(C14="y",AND($C$6=1,$C$7=2)),2,IF(AND(C14="y",AND($C$6=1,$C$7=3)),1,IF(AND(C14="y",AND($C$6=2,$C$7=1)),4,IF(AND(C14="y",AND($C$6=2,$C$7=2)),3,IF(AND(C14="y",AND($C$6=2,$C$7=3)),2,IF(AND(C14="y",AND($C$6=3,$C$7=1)),4,IF(AND(C14="y",AND($C$6=3,$C$7=2)),4,IF(AND(C14="y",AND($C$6=3,$C$7=3)),4,""))))))))))</f>
        <v>4</v>
      </c>
      <c r="E14" s="57"/>
      <c r="F14" s="64" t="s">
        <v>36</v>
      </c>
      <c r="G14" s="64" t="s">
        <v>37</v>
      </c>
    </row>
    <row r="15" spans="1:8" ht="135" x14ac:dyDescent="0.25">
      <c r="A15" s="66">
        <v>3.05</v>
      </c>
      <c r="B15" s="67" t="s">
        <v>38</v>
      </c>
      <c r="C15" s="56" t="s">
        <v>20</v>
      </c>
      <c r="D15" s="59">
        <f>IF(C15="n",LOOKUP($C$10,LUT!$I$13:$L$13,LUT!$I$15:$L$15),IF(AND(C15="y",AND($C$6=1,$C$7=1)),2,IF(AND(C15="y",AND($C$6=1,$C$7=2)),1,IF(AND(C15="y",AND($C$6=1,$C$7=3)),1,IF(AND(C15="y",AND($C$6=2,$C$7=1)),2,IF(AND(C15="y",AND($C$6=2,$C$7=2)),2,IF(AND(C15="y",AND($C$6=2,$C$7=3)),1,IF(AND(C15="y",AND($C$6=3,$C$7=1)),2,IF(AND(C15="y",AND($C$6=3,$C$7=2)),2,IF(AND(C15="y",AND($C$6=3,$C$7=3)),2,""))))))))))</f>
        <v>2</v>
      </c>
      <c r="E15" s="57"/>
      <c r="F15" s="64" t="s">
        <v>39</v>
      </c>
      <c r="G15" s="64" t="s">
        <v>40</v>
      </c>
    </row>
    <row r="16" spans="1:8" x14ac:dyDescent="0.25">
      <c r="A16" s="66">
        <v>4.01</v>
      </c>
      <c r="B16" s="67" t="s">
        <v>41</v>
      </c>
      <c r="C16" s="56" t="s">
        <v>11</v>
      </c>
      <c r="D16" s="59">
        <f>IF(C16="y",VLOOKUP(LUT!C17,LUT!$C$4:$E$52,3),IF(C16="n",VLOOKUP(LUT!C17,LUT!$C$4:$E$52,2)," "))</f>
        <v>0</v>
      </c>
      <c r="E16" s="57"/>
      <c r="F16" s="64" t="s">
        <v>42</v>
      </c>
      <c r="G16" s="64"/>
    </row>
    <row r="17" spans="1:7" x14ac:dyDescent="0.25">
      <c r="A17" s="66">
        <v>4.0199999999999996</v>
      </c>
      <c r="B17" s="67" t="s">
        <v>43</v>
      </c>
      <c r="C17" s="56" t="s">
        <v>11</v>
      </c>
      <c r="D17" s="59">
        <f>IF(C17="y",VLOOKUP(LUT!C18,LUT!C4:E52,3),IF(C17="n",VLOOKUP(LUT!C18,LUT!C4:E52,2)," "))</f>
        <v>0</v>
      </c>
      <c r="E17" s="57"/>
      <c r="F17" s="64" t="s">
        <v>44</v>
      </c>
      <c r="G17" s="64"/>
    </row>
    <row r="18" spans="1:7" x14ac:dyDescent="0.25">
      <c r="A18" s="66">
        <v>4.03</v>
      </c>
      <c r="B18" s="67" t="s">
        <v>45</v>
      </c>
      <c r="C18" s="56" t="s">
        <v>11</v>
      </c>
      <c r="D18" s="59">
        <f>IF(C18="y",VLOOKUP(LUT!C19,LUT!$C$4:$E$52,3),IF(C18="n",VLOOKUP(LUT!C19,LUT!$C$4:$E$52,2)," "))</f>
        <v>0</v>
      </c>
      <c r="E18" s="57"/>
      <c r="F18" s="64" t="s">
        <v>46</v>
      </c>
      <c r="G18" s="64"/>
    </row>
    <row r="19" spans="1:7" x14ac:dyDescent="0.25">
      <c r="A19" s="66">
        <v>4.04</v>
      </c>
      <c r="B19" s="67" t="s">
        <v>47</v>
      </c>
      <c r="C19" s="56" t="s">
        <v>11</v>
      </c>
      <c r="D19" s="59">
        <f>IF(C19="y",VLOOKUP(LUT!C20,LUT!$C$4:$E$52,3),IF(C19="n",VLOOKUP(LUT!C20,LUT!$C$4:$E$52,2)," "))</f>
        <v>-1</v>
      </c>
      <c r="E19" s="57"/>
      <c r="F19" s="64" t="s">
        <v>46</v>
      </c>
      <c r="G19" s="64"/>
    </row>
    <row r="20" spans="1:7" x14ac:dyDescent="0.25">
      <c r="A20" s="66">
        <v>4.05</v>
      </c>
      <c r="B20" s="67" t="s">
        <v>48</v>
      </c>
      <c r="C20" s="56" t="s">
        <v>11</v>
      </c>
      <c r="D20" s="59">
        <f>IF(C20="y",VLOOKUP(LUT!C21,LUT!$C$4:$E$52,3),IF(C20="n",VLOOKUP(LUT!C21,LUT!$C$4:$E$52,2)," "))</f>
        <v>0</v>
      </c>
      <c r="E20" s="57"/>
      <c r="F20" s="64" t="s">
        <v>46</v>
      </c>
      <c r="G20" s="64"/>
    </row>
    <row r="21" spans="1:7" ht="150" x14ac:dyDescent="0.25">
      <c r="A21" s="66">
        <v>4.0599999999999996</v>
      </c>
      <c r="B21" s="67" t="s">
        <v>49</v>
      </c>
      <c r="C21" s="56" t="s">
        <v>20</v>
      </c>
      <c r="D21" s="59">
        <f>IF(C21="y",VLOOKUP(LUT!C22,LUT!$C$4:$E$52,3),IF(C21="n",VLOOKUP(LUT!C22,LUT!$C$4:$E$52,2)," "))</f>
        <v>1</v>
      </c>
      <c r="E21" s="57"/>
      <c r="F21" s="64" t="s">
        <v>50</v>
      </c>
      <c r="G21" s="64" t="s">
        <v>51</v>
      </c>
    </row>
    <row r="22" spans="1:7" x14ac:dyDescent="0.25">
      <c r="A22" s="66">
        <v>4.07</v>
      </c>
      <c r="B22" s="67" t="s">
        <v>52</v>
      </c>
      <c r="C22" s="56" t="s">
        <v>11</v>
      </c>
      <c r="D22" s="59">
        <f>IF(C22="y",VLOOKUP(LUT!C23,LUT!$C$4:$E$52,3),IF(C22="n",VLOOKUP(LUT!C23,LUT!$C$4:$E$52,2)," "))</f>
        <v>0</v>
      </c>
      <c r="E22" s="57"/>
      <c r="F22" s="64" t="s">
        <v>46</v>
      </c>
      <c r="G22" s="64"/>
    </row>
    <row r="23" spans="1:7" x14ac:dyDescent="0.25">
      <c r="A23" s="66">
        <v>4.08</v>
      </c>
      <c r="B23" s="67" t="s">
        <v>53</v>
      </c>
      <c r="C23" s="56" t="s">
        <v>11</v>
      </c>
      <c r="D23" s="59">
        <f>IF(C23="y",VLOOKUP(LUT!C24,LUT!$C$4:$E$52,3),IF(C23="n",VLOOKUP(LUT!C24,LUT!$C$4:$E$52,2)," "))</f>
        <v>0</v>
      </c>
      <c r="E23" s="57"/>
      <c r="F23" s="64" t="s">
        <v>46</v>
      </c>
      <c r="G23" s="64"/>
    </row>
    <row r="24" spans="1:7" ht="135" x14ac:dyDescent="0.25">
      <c r="A24" s="66">
        <v>4.09</v>
      </c>
      <c r="B24" s="67" t="s">
        <v>54</v>
      </c>
      <c r="C24" s="56" t="s">
        <v>11</v>
      </c>
      <c r="D24" s="59">
        <f>IF(C24="y",VLOOKUP(LUT!C25,LUT!$C$4:$E$52,3),IF(C24="n",VLOOKUP(LUT!C25,LUT!$C$4:$E$52,2)," "))</f>
        <v>0</v>
      </c>
      <c r="E24" s="57"/>
      <c r="F24" s="64" t="s">
        <v>55</v>
      </c>
      <c r="G24" s="64" t="s">
        <v>56</v>
      </c>
    </row>
    <row r="25" spans="1:7" ht="105" x14ac:dyDescent="0.25">
      <c r="A25" s="66">
        <v>4.0999999999999996</v>
      </c>
      <c r="B25" s="68" t="s">
        <v>57</v>
      </c>
      <c r="C25" s="56" t="s">
        <v>20</v>
      </c>
      <c r="D25" s="59">
        <f>IF(C25="y",VLOOKUP(LUT!C26,LUT!$C$4:$E$52,3),IF(C25="n",VLOOKUP(LUT!C26,LUT!$C$4:$E$52,2)," "))</f>
        <v>1</v>
      </c>
      <c r="E25" s="57"/>
      <c r="F25" s="64" t="s">
        <v>58</v>
      </c>
      <c r="G25" s="64" t="s">
        <v>59</v>
      </c>
    </row>
    <row r="26" spans="1:7" x14ac:dyDescent="0.25">
      <c r="A26" s="66">
        <v>4.1100000000000003</v>
      </c>
      <c r="B26" s="67" t="s">
        <v>60</v>
      </c>
      <c r="C26" s="56" t="s">
        <v>11</v>
      </c>
      <c r="D26" s="59">
        <f>IF(C26="y",VLOOKUP(LUT!C27,LUT!$C$4:$E$52,3),IF(C26="n",VLOOKUP(LUT!C27,LUT!$C$4:$E$52,2)," "))</f>
        <v>0</v>
      </c>
      <c r="E26" s="57"/>
      <c r="F26" s="64" t="s">
        <v>61</v>
      </c>
      <c r="G26" s="64"/>
    </row>
    <row r="27" spans="1:7" ht="75" x14ac:dyDescent="0.25">
      <c r="A27" s="66">
        <v>4.12</v>
      </c>
      <c r="B27" s="67" t="s">
        <v>62</v>
      </c>
      <c r="C27" s="56" t="s">
        <v>20</v>
      </c>
      <c r="D27" s="59">
        <f>IF(C27="y",VLOOKUP(LUT!C28,LUT!$C$4:$E$52,3),IF(C27="n",VLOOKUP(LUT!C28,LUT!$C$4:$E$52,2)," "))</f>
        <v>1</v>
      </c>
      <c r="E27" s="57"/>
      <c r="F27" s="64" t="s">
        <v>63</v>
      </c>
      <c r="G27" s="64" t="s">
        <v>23</v>
      </c>
    </row>
    <row r="28" spans="1:7" x14ac:dyDescent="0.25">
      <c r="A28" s="66">
        <v>5.01</v>
      </c>
      <c r="B28" s="67" t="s">
        <v>64</v>
      </c>
      <c r="C28" s="56" t="s">
        <v>11</v>
      </c>
      <c r="D28" s="59">
        <f>IF(C28="y",VLOOKUP(LUT!C29,LUT!$C$4:$E$52,3),IF(C28="n",VLOOKUP(LUT!C29,LUT!$C$4:$E$52,2)," "))</f>
        <v>0</v>
      </c>
      <c r="E28" s="57"/>
      <c r="F28" s="64" t="s">
        <v>65</v>
      </c>
      <c r="G28" s="64"/>
    </row>
    <row r="29" spans="1:7" x14ac:dyDescent="0.25">
      <c r="A29" s="66">
        <v>5.0199999999999996</v>
      </c>
      <c r="B29" s="67" t="s">
        <v>66</v>
      </c>
      <c r="C29" s="56" t="s">
        <v>11</v>
      </c>
      <c r="D29" s="59">
        <f>IF(C29="y",VLOOKUP(LUT!C30,LUT!$C$4:$E$52,3),IF(C29="n",VLOOKUP(LUT!C30,LUT!$C$4:$E$52,2)," "))</f>
        <v>0</v>
      </c>
      <c r="E29" s="57"/>
      <c r="F29" s="103" t="s">
        <v>67</v>
      </c>
      <c r="G29" s="64"/>
    </row>
    <row r="30" spans="1:7" ht="45" x14ac:dyDescent="0.25">
      <c r="A30" s="66">
        <v>5.03</v>
      </c>
      <c r="B30" s="67" t="s">
        <v>68</v>
      </c>
      <c r="C30" s="56" t="s">
        <v>11</v>
      </c>
      <c r="D30" s="59">
        <f>IF(C30="y",VLOOKUP(LUT!C31,LUT!$C$4:$E$52,3),IF(C30="n",VLOOKUP(LUT!C31,LUT!$C$4:$E$52,2)," "))</f>
        <v>0</v>
      </c>
      <c r="E30" s="57"/>
      <c r="F30" s="103" t="s">
        <v>69</v>
      </c>
      <c r="G30" s="64" t="s">
        <v>70</v>
      </c>
    </row>
    <row r="31" spans="1:7" ht="30" x14ac:dyDescent="0.25">
      <c r="A31" s="66">
        <v>5.04</v>
      </c>
      <c r="B31" s="67" t="s">
        <v>71</v>
      </c>
      <c r="C31" s="56" t="s">
        <v>11</v>
      </c>
      <c r="D31" s="59">
        <f>IF(C31="y",VLOOKUP(LUT!C32,LUT!$C$4:$E$52,3),IF(C31="n",VLOOKUP(LUT!C32,LUT!$C$4:$E$52,2)," "))</f>
        <v>0</v>
      </c>
      <c r="E31" s="57"/>
      <c r="F31" s="103" t="s">
        <v>72</v>
      </c>
      <c r="G31" s="64"/>
    </row>
    <row r="32" spans="1:7" ht="30" x14ac:dyDescent="0.25">
      <c r="A32" s="66">
        <v>6.01</v>
      </c>
      <c r="B32" s="67" t="s">
        <v>73</v>
      </c>
      <c r="C32" s="56" t="s">
        <v>11</v>
      </c>
      <c r="D32" s="59">
        <f>IF(C32="y",VLOOKUP(LUT!C33,LUT!$C$4:$E$52,3),IF(C32="n",VLOOKUP(LUT!C33,LUT!$C$4:$E$52,2)," "))</f>
        <v>0</v>
      </c>
      <c r="E32" s="57"/>
      <c r="F32" s="64" t="s">
        <v>46</v>
      </c>
      <c r="G32" s="64"/>
    </row>
    <row r="33" spans="1:7" ht="120" x14ac:dyDescent="0.25">
      <c r="A33" s="66">
        <v>6.02</v>
      </c>
      <c r="B33" s="67" t="s">
        <v>74</v>
      </c>
      <c r="C33" s="56" t="s">
        <v>20</v>
      </c>
      <c r="D33" s="59">
        <f>IF(C33="y",VLOOKUP(LUT!C34,LUT!$C$4:$E$52,3),IF(C33="n",VLOOKUP(LUT!C34,LUT!$C$4:$E$52,2)," "))</f>
        <v>1</v>
      </c>
      <c r="E33" s="57"/>
      <c r="F33" s="64" t="s">
        <v>75</v>
      </c>
      <c r="G33" s="64" t="s">
        <v>76</v>
      </c>
    </row>
    <row r="34" spans="1:7" x14ac:dyDescent="0.25">
      <c r="A34" s="66">
        <v>6.03</v>
      </c>
      <c r="B34" s="67" t="s">
        <v>77</v>
      </c>
      <c r="C34" s="56" t="s">
        <v>11</v>
      </c>
      <c r="D34" s="59">
        <f>IF(C34="y",VLOOKUP(LUT!C35,LUT!$C$4:$E$52,3),IF(C34="n",VLOOKUP(LUT!C35,LUT!$C$4:$E$52,2)," "))</f>
        <v>-1</v>
      </c>
      <c r="E34" s="57"/>
      <c r="F34" s="64" t="s">
        <v>46</v>
      </c>
      <c r="G34" s="64"/>
    </row>
    <row r="35" spans="1:7" x14ac:dyDescent="0.25">
      <c r="A35" s="66">
        <v>6.04</v>
      </c>
      <c r="B35" s="67" t="s">
        <v>78</v>
      </c>
      <c r="C35" s="56" t="s">
        <v>11</v>
      </c>
      <c r="D35" s="59">
        <f>IF(C35="y",VLOOKUP(LUT!C36,LUT!$C$4:$E$52,3),IF(C35="n",VLOOKUP(LUT!C36,LUT!$C$4:$E$52,2)," "))</f>
        <v>-1</v>
      </c>
      <c r="E35" s="57"/>
      <c r="F35" s="64" t="s">
        <v>46</v>
      </c>
      <c r="G35" s="64"/>
    </row>
    <row r="36" spans="1:7" x14ac:dyDescent="0.25">
      <c r="A36" s="66">
        <v>6.05</v>
      </c>
      <c r="B36" s="67" t="s">
        <v>79</v>
      </c>
      <c r="C36" s="56" t="s">
        <v>11</v>
      </c>
      <c r="D36" s="59">
        <f>IF(C36="y",VLOOKUP(LUT!C37,LUT!$C$4:$E$52,3),IF(C36="n",VLOOKUP(LUT!C37,LUT!$C$4:$E$52,2)," "))</f>
        <v>0</v>
      </c>
      <c r="E36" s="57"/>
      <c r="F36" s="64" t="s">
        <v>80</v>
      </c>
      <c r="G36" s="64"/>
    </row>
    <row r="37" spans="1:7" ht="75" x14ac:dyDescent="0.25">
      <c r="A37" s="66">
        <v>6.06</v>
      </c>
      <c r="B37" s="67" t="s">
        <v>81</v>
      </c>
      <c r="C37" s="56" t="s">
        <v>20</v>
      </c>
      <c r="D37" s="59">
        <f>IF(C37="y",VLOOKUP(LUT!C38,LUT!$C$4:$E$52,3),IF(C37="n",VLOOKUP(LUT!C38,LUT!$C$4:$E$52,2)," "))</f>
        <v>1</v>
      </c>
      <c r="E37" s="57"/>
      <c r="F37" s="64" t="s">
        <v>82</v>
      </c>
      <c r="G37" s="64" t="s">
        <v>23</v>
      </c>
    </row>
    <row r="38" spans="1:7" ht="45" x14ac:dyDescent="0.25">
      <c r="A38" s="66">
        <v>6.07</v>
      </c>
      <c r="B38" s="67" t="s">
        <v>83</v>
      </c>
      <c r="C38" s="84" t="s">
        <v>84</v>
      </c>
      <c r="D38" s="59" t="str">
        <f>IF(C38="1 or fewer",1,IF(C38="2 or 3",0,IF(C38&gt;="4 or more",-1," ")))</f>
        <v xml:space="preserve"> </v>
      </c>
      <c r="E38" s="57"/>
      <c r="F38" s="64" t="s">
        <v>85</v>
      </c>
      <c r="G38" s="64" t="s">
        <v>70</v>
      </c>
    </row>
    <row r="39" spans="1:7" ht="105" x14ac:dyDescent="0.25">
      <c r="A39" s="66">
        <v>7.01</v>
      </c>
      <c r="B39" s="67" t="s">
        <v>86</v>
      </c>
      <c r="C39" s="56" t="s">
        <v>20</v>
      </c>
      <c r="D39" s="59">
        <f>IF(C39="y",VLOOKUP(LUT!C40,LUT!$C$4:$E$52,3),IF(C39="n",VLOOKUP(LUT!C40,LUT!$C$4:$E$52,2)," "))</f>
        <v>1</v>
      </c>
      <c r="E39" s="57"/>
      <c r="F39" s="100" t="s">
        <v>87</v>
      </c>
      <c r="G39" s="56" t="s">
        <v>88</v>
      </c>
    </row>
    <row r="40" spans="1:7" ht="75" x14ac:dyDescent="0.25">
      <c r="A40" s="66">
        <v>7.02</v>
      </c>
      <c r="B40" s="67" t="s">
        <v>89</v>
      </c>
      <c r="C40" s="56" t="s">
        <v>20</v>
      </c>
      <c r="D40" s="59">
        <f>IF(C40="y",VLOOKUP(LUT!C41,LUT!$C$4:$E$52,3),IF(C40="n",VLOOKUP(LUT!C41,LUT!$C$4:$E$52,2)," "))</f>
        <v>1</v>
      </c>
      <c r="E40" s="57"/>
      <c r="F40" s="64" t="s">
        <v>90</v>
      </c>
      <c r="G40" s="64" t="s">
        <v>91</v>
      </c>
    </row>
    <row r="41" spans="1:7" ht="75" x14ac:dyDescent="0.25">
      <c r="A41" s="66">
        <v>7.03</v>
      </c>
      <c r="B41" s="67" t="s">
        <v>92</v>
      </c>
      <c r="C41" s="56" t="s">
        <v>84</v>
      </c>
      <c r="D41" s="59" t="str">
        <f>IF(C41="y",VLOOKUP(LUT!C42,LUT!$C$4:$E$52,3),IF(C41="n",VLOOKUP(LUT!C42,LUT!$C$4:$E$52,2)," "))</f>
        <v xml:space="preserve"> </v>
      </c>
      <c r="E41" s="57"/>
      <c r="F41" s="64" t="s">
        <v>93</v>
      </c>
      <c r="G41" s="64" t="s">
        <v>94</v>
      </c>
    </row>
    <row r="42" spans="1:7" x14ac:dyDescent="0.25">
      <c r="A42" s="66">
        <v>7.04</v>
      </c>
      <c r="B42" s="67" t="s">
        <v>95</v>
      </c>
      <c r="C42" s="56" t="s">
        <v>11</v>
      </c>
      <c r="D42" s="59">
        <f>IF(C42="y",VLOOKUP(LUT!C43,LUT!$C$4:$E$52,3),IF(C42="n",VLOOKUP(LUT!C43,LUT!$C$4:$E$52,2)," "))</f>
        <v>-1</v>
      </c>
      <c r="E42" s="57"/>
      <c r="F42" s="64" t="s">
        <v>46</v>
      </c>
      <c r="G42" s="64"/>
    </row>
    <row r="43" spans="1:7" x14ac:dyDescent="0.25">
      <c r="A43" s="66">
        <v>7.05</v>
      </c>
      <c r="B43" s="67" t="s">
        <v>96</v>
      </c>
      <c r="C43" s="56" t="s">
        <v>11</v>
      </c>
      <c r="D43" s="59">
        <f>IF(C43="y",VLOOKUP(LUT!C44,LUT!$C$4:$E$52,3),IF(C43="n",VLOOKUP(LUT!C44,LUT!$C$4:$E$52,2)," "))</f>
        <v>-1</v>
      </c>
      <c r="E43" s="57"/>
      <c r="F43" s="64" t="s">
        <v>46</v>
      </c>
      <c r="G43" s="64"/>
    </row>
    <row r="44" spans="1:7" ht="45" x14ac:dyDescent="0.25">
      <c r="A44" s="66">
        <v>7.06</v>
      </c>
      <c r="B44" s="67" t="s">
        <v>97</v>
      </c>
      <c r="C44" s="56" t="s">
        <v>20</v>
      </c>
      <c r="D44" s="59">
        <f>IF(C44="y",VLOOKUP(LUT!C45,LUT!$C$4:$E$52,3),IF(C44="n",VLOOKUP(LUT!C45,LUT!$C$4:$E$52,2)," "))</f>
        <v>1</v>
      </c>
      <c r="E44" s="57"/>
      <c r="F44" s="64" t="s">
        <v>98</v>
      </c>
      <c r="G44" s="64" t="s">
        <v>99</v>
      </c>
    </row>
    <row r="45" spans="1:7" ht="30" x14ac:dyDescent="0.25">
      <c r="A45" s="66">
        <v>7.07</v>
      </c>
      <c r="B45" s="67" t="s">
        <v>100</v>
      </c>
      <c r="C45" s="56" t="s">
        <v>11</v>
      </c>
      <c r="D45" s="59">
        <f>IF(C45="y",VLOOKUP(LUT!C46,LUT!$C$4:$E$52,3),IF(C45="n",VLOOKUP(LUT!C46,LUT!$C$4:$E$52,2)," "))</f>
        <v>-1</v>
      </c>
      <c r="E45" s="57"/>
      <c r="F45" s="64" t="s">
        <v>46</v>
      </c>
      <c r="G45" s="64"/>
    </row>
    <row r="46" spans="1:7" ht="30" x14ac:dyDescent="0.25">
      <c r="A46" s="66">
        <v>7.08</v>
      </c>
      <c r="B46" s="67" t="s">
        <v>101</v>
      </c>
      <c r="C46" s="56" t="s">
        <v>11</v>
      </c>
      <c r="D46" s="59">
        <f>IF(C46="y",VLOOKUP(LUT!C47,LUT!$C$4:$E$52,3),IF(C46="n",VLOOKUP(LUT!C47,LUT!$C$4:$E$52,2)," "))</f>
        <v>-1</v>
      </c>
      <c r="E46" s="57"/>
      <c r="F46" s="64" t="s">
        <v>46</v>
      </c>
      <c r="G46" s="64"/>
    </row>
    <row r="47" spans="1:7" ht="75" x14ac:dyDescent="0.25">
      <c r="A47" s="66">
        <v>8.01</v>
      </c>
      <c r="B47" s="67" t="s">
        <v>102</v>
      </c>
      <c r="C47" s="56" t="s">
        <v>84</v>
      </c>
      <c r="D47" s="59" t="str">
        <f>IF(C47="y",VLOOKUP(LUT!C48,LUT!$C$4:$E$52,3),IF(C47="n",VLOOKUP(LUT!C48,LUT!$C$4:$E$52,2)," "))</f>
        <v xml:space="preserve"> </v>
      </c>
      <c r="E47" s="57"/>
      <c r="F47" s="64" t="s">
        <v>103</v>
      </c>
      <c r="G47" s="64" t="s">
        <v>104</v>
      </c>
    </row>
    <row r="48" spans="1:7" ht="120" x14ac:dyDescent="0.25">
      <c r="A48" s="66">
        <v>8.02</v>
      </c>
      <c r="B48" s="67" t="s">
        <v>105</v>
      </c>
      <c r="C48" s="56"/>
      <c r="D48" s="59" t="str">
        <f>IF(C48="y",VLOOKUP(LUT!C49,LUT!$C$4:$E$52,3),IF(C48="n",VLOOKUP(LUT!C49,LUT!$C$4:$E$52,2)," "))</f>
        <v xml:space="preserve"> </v>
      </c>
      <c r="E48" s="57"/>
      <c r="F48" s="64" t="s">
        <v>106</v>
      </c>
      <c r="G48" s="64" t="s">
        <v>107</v>
      </c>
    </row>
    <row r="49" spans="1:7" ht="45" x14ac:dyDescent="0.25">
      <c r="A49" s="66">
        <v>8.0299999999999994</v>
      </c>
      <c r="B49" s="67" t="s">
        <v>108</v>
      </c>
      <c r="C49" s="56" t="s">
        <v>84</v>
      </c>
      <c r="D49" s="59" t="str">
        <f>IF(C49="y",VLOOKUP(LUT!C50,LUT!$C$4:$E$52,3),IF(C49="n",VLOOKUP(LUT!C50,LUT!$C$4:$E$52,2)," "))</f>
        <v xml:space="preserve"> </v>
      </c>
      <c r="E49" s="57"/>
      <c r="F49" s="64" t="s">
        <v>109</v>
      </c>
      <c r="G49" s="64" t="s">
        <v>99</v>
      </c>
    </row>
    <row r="50" spans="1:7" ht="105" x14ac:dyDescent="0.25">
      <c r="A50" s="66">
        <v>8.0399999999999991</v>
      </c>
      <c r="B50" s="67" t="s">
        <v>110</v>
      </c>
      <c r="C50" s="56" t="s">
        <v>20</v>
      </c>
      <c r="D50" s="59">
        <f>IF(C50="y",VLOOKUP(LUT!C51,LUT!$C$4:$E$52,3),IF(C50="n",VLOOKUP(LUT!C51,LUT!$C$4:$E$52,2)," "))</f>
        <v>1</v>
      </c>
      <c r="E50" s="57"/>
      <c r="F50" s="64" t="s">
        <v>111</v>
      </c>
      <c r="G50" s="64" t="s">
        <v>112</v>
      </c>
    </row>
    <row r="51" spans="1:7" x14ac:dyDescent="0.25">
      <c r="A51" s="66">
        <v>8.0500000000000007</v>
      </c>
      <c r="B51" s="67" t="s">
        <v>113</v>
      </c>
      <c r="C51" s="56" t="s">
        <v>11</v>
      </c>
      <c r="D51" s="59">
        <f>IF(C51="y",VLOOKUP(LUT!C52,LUT!$C$4:$E$52,3),IF(C51="n",VLOOKUP(LUT!C52,LUT!$C$4:$E$52,2)," "))</f>
        <v>1</v>
      </c>
      <c r="E51" s="57"/>
      <c r="F51" s="64" t="s">
        <v>46</v>
      </c>
      <c r="G51" s="64"/>
    </row>
    <row r="52" spans="1:7" ht="15.75" thickBot="1" x14ac:dyDescent="0.3">
      <c r="A52" s="87"/>
      <c r="B52" s="86"/>
      <c r="C52" s="56"/>
      <c r="D52" s="56"/>
      <c r="E52" s="57"/>
      <c r="F52" s="56"/>
      <c r="G52" s="56"/>
    </row>
    <row r="53" spans="1:7" ht="29.25" customHeight="1" thickTop="1" x14ac:dyDescent="0.25">
      <c r="A53" s="56"/>
      <c r="B53" s="56"/>
      <c r="C53" s="69" t="s">
        <v>114</v>
      </c>
      <c r="D53" s="61">
        <f>SUM(D3:D51)</f>
        <v>19</v>
      </c>
      <c r="E53" s="62"/>
      <c r="F53" s="56"/>
      <c r="G53" s="56"/>
    </row>
    <row r="54" spans="1:7" ht="33" customHeight="1" thickBot="1" x14ac:dyDescent="0.3">
      <c r="A54" s="56"/>
      <c r="B54" s="56"/>
      <c r="C54" s="70" t="s">
        <v>115</v>
      </c>
      <c r="D54" s="21" t="str">
        <f>IF(E60="no","more info needed",IF(D53&lt;1,"accept",IF(D53&gt;6,"reject","evaluate further")))</f>
        <v>reject</v>
      </c>
      <c r="E54" s="62"/>
      <c r="F54" s="56"/>
      <c r="G54" s="56"/>
    </row>
    <row r="55" spans="1:7" ht="16.5" thickTop="1" thickBot="1" x14ac:dyDescent="0.3">
      <c r="A55" s="56"/>
      <c r="B55" s="56"/>
      <c r="C55" s="56"/>
      <c r="D55" s="56"/>
      <c r="E55" s="57"/>
      <c r="F55" s="56"/>
      <c r="G55" s="56"/>
    </row>
    <row r="56" spans="1:7" ht="46.5" thickTop="1" thickBot="1" x14ac:dyDescent="0.3">
      <c r="A56" s="56"/>
      <c r="B56" s="22" t="s">
        <v>116</v>
      </c>
      <c r="C56" s="23" t="s">
        <v>117</v>
      </c>
      <c r="D56" s="19" t="s">
        <v>118</v>
      </c>
      <c r="E56" s="62"/>
      <c r="F56" s="63"/>
      <c r="G56" s="56"/>
    </row>
    <row r="57" spans="1:7" ht="15.75" thickTop="1" x14ac:dyDescent="0.25">
      <c r="A57" s="56"/>
      <c r="B57" s="28" t="s">
        <v>119</v>
      </c>
      <c r="C57" s="24">
        <f>COUNTIF(C3:C15, "y")+COUNTIF(C3:C15, "n")+COUNTIF(C6:C7, "1")+COUNTIF(C6:C7, "2")+COUNTIF(C6:C7, "3")</f>
        <v>11</v>
      </c>
      <c r="D57" s="20" t="str">
        <f>IF(C57&gt;=2,"yes","no")</f>
        <v>yes</v>
      </c>
      <c r="E57" s="62"/>
      <c r="F57" s="56"/>
      <c r="G57" s="56"/>
    </row>
    <row r="58" spans="1:7" x14ac:dyDescent="0.25">
      <c r="A58" s="56"/>
      <c r="B58" s="29" t="s">
        <v>120</v>
      </c>
      <c r="C58" s="24">
        <f>COUNTIF(C16:C27,"y")+COUNTIF(C16:C27,"n")</f>
        <v>12</v>
      </c>
      <c r="D58" s="20" t="str">
        <f>IF(C58&gt;=2,"yes","no")</f>
        <v>yes</v>
      </c>
      <c r="E58" s="62"/>
      <c r="F58" s="56"/>
      <c r="G58" s="56"/>
    </row>
    <row r="59" spans="1:7" x14ac:dyDescent="0.25">
      <c r="A59" s="56"/>
      <c r="B59" s="28" t="s">
        <v>121</v>
      </c>
      <c r="C59" s="24">
        <f>COUNTIF(C28:C51,"y")+COUNTIF(C28:C51, "n")+COUNT(C28:C51)</f>
        <v>19</v>
      </c>
      <c r="D59" s="20" t="str">
        <f>IF(C59&gt;=6,"yes","no")</f>
        <v>yes</v>
      </c>
      <c r="E59" s="62"/>
      <c r="F59" s="56"/>
      <c r="G59" s="56"/>
    </row>
    <row r="60" spans="1:7" ht="15.75" thickBot="1" x14ac:dyDescent="0.3">
      <c r="A60" s="56"/>
      <c r="B60" s="25" t="s">
        <v>122</v>
      </c>
      <c r="C60" s="26">
        <f>SUM(C57:C59)</f>
        <v>42</v>
      </c>
      <c r="D60" s="21" t="str">
        <f>IF(D57="no","no",IF(D58="no","no",IF(D59="no","no","yes")))</f>
        <v>yes</v>
      </c>
      <c r="E60" s="62"/>
      <c r="F60" s="56"/>
      <c r="G60" s="56"/>
    </row>
    <row r="61" spans="1:7" ht="15.75" thickTop="1" x14ac:dyDescent="0.25">
      <c r="A61" s="56"/>
      <c r="B61" s="56"/>
      <c r="C61" s="56"/>
      <c r="D61" s="56"/>
      <c r="E61" s="57"/>
      <c r="F61" s="56"/>
      <c r="G61" s="56"/>
    </row>
    <row r="62" spans="1:7" x14ac:dyDescent="0.25">
      <c r="A62" s="56"/>
      <c r="B62" s="56"/>
      <c r="C62" s="56"/>
      <c r="D62" s="56"/>
      <c r="E62" s="57"/>
      <c r="F62" s="56"/>
      <c r="G62" s="56"/>
    </row>
    <row r="63" spans="1:7" ht="15.75" thickBot="1" x14ac:dyDescent="0.3">
      <c r="A63" s="56"/>
      <c r="B63" s="108" t="s">
        <v>123</v>
      </c>
      <c r="C63" s="108"/>
      <c r="D63" s="108"/>
      <c r="E63" s="62"/>
      <c r="F63" s="56"/>
      <c r="G63" s="56"/>
    </row>
    <row r="64" spans="1:7" ht="15.75" thickBot="1" x14ac:dyDescent="0.3">
      <c r="A64" s="56"/>
      <c r="B64" s="109" t="s">
        <v>124</v>
      </c>
      <c r="C64" s="110"/>
      <c r="D64" s="111"/>
      <c r="E64" s="62"/>
      <c r="F64" s="56"/>
      <c r="G64" s="56"/>
    </row>
    <row r="65" spans="1:7" x14ac:dyDescent="0.25">
      <c r="A65" s="56">
        <v>9.01</v>
      </c>
      <c r="B65" s="71" t="s">
        <v>125</v>
      </c>
      <c r="C65" s="112"/>
      <c r="D65" s="113"/>
      <c r="E65" s="62"/>
      <c r="F65" s="56"/>
      <c r="G65" s="56"/>
    </row>
    <row r="66" spans="1:7" x14ac:dyDescent="0.25">
      <c r="A66" s="56">
        <v>9.02</v>
      </c>
      <c r="B66" s="71" t="s">
        <v>126</v>
      </c>
      <c r="C66" s="114"/>
      <c r="D66" s="115"/>
      <c r="E66" s="62"/>
      <c r="F66" s="56"/>
      <c r="G66" s="56"/>
    </row>
    <row r="67" spans="1:7" x14ac:dyDescent="0.25">
      <c r="A67" s="56">
        <v>9.0299999999999994</v>
      </c>
      <c r="B67" s="71" t="s">
        <v>127</v>
      </c>
      <c r="C67" s="106"/>
      <c r="D67" s="107"/>
      <c r="E67" s="62"/>
      <c r="F67" s="56"/>
      <c r="G67" s="56"/>
    </row>
    <row r="68" spans="1:7" x14ac:dyDescent="0.25">
      <c r="A68" s="56">
        <v>9.0399999999999991</v>
      </c>
      <c r="B68" s="71" t="s">
        <v>128</v>
      </c>
      <c r="C68" s="106"/>
      <c r="D68" s="107"/>
      <c r="E68" s="62"/>
      <c r="F68" s="56"/>
      <c r="G68" s="56"/>
    </row>
    <row r="69" spans="1:7" x14ac:dyDescent="0.25">
      <c r="A69" s="56">
        <v>9.0500000000000007</v>
      </c>
      <c r="B69" s="71" t="s">
        <v>129</v>
      </c>
      <c r="C69" s="106"/>
      <c r="D69" s="107"/>
      <c r="E69" s="62"/>
      <c r="F69" s="56"/>
      <c r="G69" s="56"/>
    </row>
    <row r="70" spans="1:7" x14ac:dyDescent="0.25">
      <c r="A70" s="56">
        <v>9.06</v>
      </c>
      <c r="B70" s="71" t="s">
        <v>130</v>
      </c>
      <c r="C70" s="106"/>
      <c r="D70" s="107"/>
      <c r="E70" s="62"/>
      <c r="F70" s="56"/>
      <c r="G70" s="56"/>
    </row>
    <row r="71" spans="1:7" x14ac:dyDescent="0.25">
      <c r="A71" s="56">
        <v>9.07</v>
      </c>
      <c r="B71" s="71" t="s">
        <v>131</v>
      </c>
      <c r="C71" s="94"/>
      <c r="D71" s="97" t="str">
        <f>IF(C71="yes", IF(OR(C65="?", C66="?", C67="no", C67="?"), "eval.", IF(AND(C65="yes", C66="yes", C67="yes"), "reject", IF(OR(C65="no", C66="no"), "accept", " ")))," ")</f>
        <v xml:space="preserve"> </v>
      </c>
      <c r="E71" s="62"/>
      <c r="F71" s="56"/>
      <c r="G71" s="56"/>
    </row>
    <row r="72" spans="1:7" x14ac:dyDescent="0.25">
      <c r="A72" s="56">
        <v>9.08</v>
      </c>
      <c r="B72" s="71" t="s">
        <v>132</v>
      </c>
      <c r="C72" s="92"/>
      <c r="D72" s="89" t="str">
        <f>IF(C71="yes","STOP",IF(C72="yes",IF(C68="no","accept",IF(AND(C68="yes",OR(C69="yes",C70="yes")),"reject",IF(OR(C68="?",C69="?",C70="?",C69="no",C70="no"),"eval.",""))), ""))</f>
        <v/>
      </c>
      <c r="E72" s="62"/>
      <c r="F72" s="56"/>
      <c r="G72" s="56"/>
    </row>
    <row r="73" spans="1:7" ht="15.75" thickBot="1" x14ac:dyDescent="0.3">
      <c r="A73" s="56">
        <v>9.09</v>
      </c>
      <c r="B73" s="91" t="s">
        <v>133</v>
      </c>
      <c r="C73" s="93"/>
      <c r="D73" s="90" t="str">
        <f>IF(OR(C71="yes",C72="yes"),"STOP",IF(C73="yes",IF(AND(LUT!I26="accept",LUT!I27="accept"),"accept",IF(AND(LUT!I26="eval.",LUT!I27="eval."),"eval.",IF(OR(LUT!I26="reject",LUT!I27="reject"),"reject",""))),""))</f>
        <v/>
      </c>
      <c r="E73" s="62"/>
      <c r="F73" s="56"/>
      <c r="G73" s="56"/>
    </row>
    <row r="74" spans="1:7" ht="15.75" thickBot="1" x14ac:dyDescent="0.3">
      <c r="A74" s="56"/>
      <c r="B74" s="72" t="s">
        <v>134</v>
      </c>
      <c r="C74" s="104" t="str">
        <f>IF(OR(D71="accept", D72="accept", D73="accept"), "Accept", IF(OR(D71="eval.", D72="eval.", D73="eval."), "Evaluate Further", IF(OR(D71="reject", D72="reject",D73="reject"), "Reject", "")))</f>
        <v/>
      </c>
      <c r="D74" s="105"/>
      <c r="E74" s="62"/>
      <c r="F74" s="56"/>
      <c r="G74" s="56"/>
    </row>
    <row r="75" spans="1:7" x14ac:dyDescent="0.25">
      <c r="A75" s="56"/>
      <c r="B75" s="64"/>
      <c r="C75" s="64"/>
      <c r="D75" s="56"/>
      <c r="E75" s="57"/>
      <c r="F75" s="56"/>
      <c r="G75" s="56"/>
    </row>
    <row r="76" spans="1:7" x14ac:dyDescent="0.25">
      <c r="A76" s="56"/>
      <c r="B76" s="64"/>
      <c r="C76" s="64"/>
      <c r="D76" s="56"/>
      <c r="E76" s="57"/>
      <c r="F76" s="56"/>
      <c r="G76" s="56"/>
    </row>
    <row r="77" spans="1:7" x14ac:dyDescent="0.25">
      <c r="A77" s="56"/>
      <c r="B77" s="64"/>
      <c r="C77" s="64"/>
      <c r="D77" s="56"/>
      <c r="E77" s="57"/>
      <c r="F77" s="56"/>
      <c r="G77" s="56"/>
    </row>
    <row r="78" spans="1:7" x14ac:dyDescent="0.25">
      <c r="A78" s="56"/>
      <c r="B78" s="64"/>
      <c r="C78" s="64"/>
      <c r="D78" s="56"/>
      <c r="E78" s="57"/>
      <c r="F78" s="56"/>
      <c r="G78" s="56"/>
    </row>
    <row r="79" spans="1:7" x14ac:dyDescent="0.25">
      <c r="A79" s="56"/>
      <c r="B79" s="64"/>
      <c r="C79" s="64"/>
      <c r="D79" s="56"/>
      <c r="E79" s="57"/>
      <c r="F79" s="56"/>
      <c r="G79" s="56"/>
    </row>
    <row r="80" spans="1:7" x14ac:dyDescent="0.25">
      <c r="A80" s="56"/>
      <c r="B80" s="64"/>
      <c r="C80" s="64"/>
      <c r="D80" s="56"/>
      <c r="E80" s="57"/>
      <c r="F80" s="56"/>
      <c r="G80" s="56"/>
    </row>
    <row r="81" spans="1:7" x14ac:dyDescent="0.25">
      <c r="A81" s="56"/>
      <c r="B81" s="64"/>
      <c r="C81" s="64"/>
      <c r="D81" s="56"/>
      <c r="E81" s="57"/>
      <c r="F81" s="56"/>
      <c r="G81" s="56"/>
    </row>
    <row r="82" spans="1:7" x14ac:dyDescent="0.25">
      <c r="A82" s="56"/>
      <c r="B82" s="64"/>
      <c r="C82" s="64"/>
      <c r="D82" s="56"/>
      <c r="E82" s="57"/>
      <c r="F82" s="56"/>
      <c r="G82" s="56"/>
    </row>
    <row r="83" spans="1:7" x14ac:dyDescent="0.25">
      <c r="A83" s="56"/>
      <c r="B83" s="64"/>
      <c r="C83" s="64"/>
      <c r="D83" s="56"/>
      <c r="E83" s="57"/>
      <c r="F83" s="56"/>
      <c r="G83" s="56"/>
    </row>
    <row r="84" spans="1:7" x14ac:dyDescent="0.25">
      <c r="A84" s="56"/>
      <c r="B84" s="64"/>
      <c r="C84" s="64"/>
      <c r="D84" s="56"/>
      <c r="E84" s="57"/>
      <c r="F84" s="56"/>
      <c r="G84" s="56"/>
    </row>
    <row r="85" spans="1:7" x14ac:dyDescent="0.25">
      <c r="A85" s="56"/>
      <c r="B85" s="64"/>
      <c r="C85" s="64"/>
      <c r="D85" s="56"/>
      <c r="E85" s="57"/>
      <c r="F85" s="56"/>
      <c r="G85" s="56"/>
    </row>
    <row r="86" spans="1:7" x14ac:dyDescent="0.25">
      <c r="A86" s="56"/>
      <c r="B86" s="56"/>
      <c r="C86" s="56"/>
      <c r="D86" s="56"/>
      <c r="E86" s="57"/>
      <c r="F86" s="56"/>
      <c r="G86" s="56"/>
    </row>
    <row r="107" spans="6:6" x14ac:dyDescent="0.25">
      <c r="F107" s="56"/>
    </row>
  </sheetData>
  <sheetProtection algorithmName="SHA-512" hashValue="MZrUtja7PJJDBC1B4jwD1l/Vd11nSCw1Immg4b2LVW4Cbn46bR2XSzczeuRm6UGdiQ3ljPyFp1/LgSDPZLisiQ==" saltValue="lXs5ZdypR3R8tD5PrOkg/A==" spinCount="100000" sheet="1" formatCells="0" formatColumns="0" formatRows="0" insertHyperlinks="0"/>
  <mergeCells count="9">
    <mergeCell ref="C74:D74"/>
    <mergeCell ref="C69:D69"/>
    <mergeCell ref="B63:D63"/>
    <mergeCell ref="C68:D68"/>
    <mergeCell ref="C70:D70"/>
    <mergeCell ref="B64:D64"/>
    <mergeCell ref="C65:D65"/>
    <mergeCell ref="C66:D66"/>
    <mergeCell ref="C67:D67"/>
  </mergeCells>
  <dataValidations count="5">
    <dataValidation type="list" allowBlank="1" showInputMessage="1" showErrorMessage="1" sqref="C6:C7" xr:uid="{978B89CE-69C6-4161-A034-AC015DA0075F}">
      <formula1>"1,2,3,?"</formula1>
    </dataValidation>
    <dataValidation type="list" allowBlank="1" showInputMessage="1" showErrorMessage="1" sqref="C3 C4:C5 C8:C37 C39:C51" xr:uid="{A77910E4-8094-445A-B01F-5DFC8D9709A0}">
      <formula1>"y,n,?"</formula1>
    </dataValidation>
    <dataValidation type="list" allowBlank="1" showInputMessage="1" showErrorMessage="1" sqref="C38" xr:uid="{7B5D2DC9-EDC8-46A0-9AF9-27EF244727AD}">
      <formula1>"1 or fewer, 2 or 3, 4 or more,?"</formula1>
    </dataValidation>
    <dataValidation type="list" errorStyle="information" allowBlank="1" showInputMessage="1" showErrorMessage="1" errorTitle="Invalid Entry" error="Make a selection from the drop-down menu, or enter &quot;yes&quot; or &quot;no&quot;. Other entries will not work." sqref="C72 C73 C71:C72" xr:uid="{6E363CE9-056D-45A6-863F-0434A36F596E}">
      <formula1>"yes, no"</formula1>
    </dataValidation>
    <dataValidation type="list" allowBlank="1" showInputMessage="1" showErrorMessage="1" sqref="C70 C68 C69:C72 C67 C66 C65:D65" xr:uid="{7728EFC8-AC11-4E25-B467-7DD30AB392B5}">
      <formula1>"yes, no,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408A-7496-40D5-8E67-BFE1B4BFE658}">
  <dimension ref="B1:R54"/>
  <sheetViews>
    <sheetView zoomScaleNormal="100" workbookViewId="0">
      <selection activeCell="O24" sqref="O24"/>
    </sheetView>
  </sheetViews>
  <sheetFormatPr defaultColWidth="8.85546875" defaultRowHeight="15" x14ac:dyDescent="0.25"/>
  <cols>
    <col min="1" max="1" width="6.85546875" customWidth="1"/>
    <col min="8" max="8" width="18.28515625" customWidth="1"/>
  </cols>
  <sheetData>
    <row r="1" spans="2:18" ht="15.75" thickBot="1" x14ac:dyDescent="0.3"/>
    <row r="2" spans="2:18" ht="15.75" thickBot="1" x14ac:dyDescent="0.3">
      <c r="B2" t="s">
        <v>135</v>
      </c>
      <c r="H2" s="116" t="s">
        <v>136</v>
      </c>
      <c r="I2" s="117"/>
      <c r="J2" s="117"/>
      <c r="K2" s="117"/>
      <c r="L2" s="117"/>
      <c r="M2" s="117"/>
      <c r="N2" s="117"/>
      <c r="O2" s="117"/>
      <c r="P2" s="117"/>
      <c r="Q2" s="117"/>
      <c r="R2" s="118"/>
    </row>
    <row r="3" spans="2:18" x14ac:dyDescent="0.25">
      <c r="B3" s="1" t="s">
        <v>116</v>
      </c>
      <c r="C3" s="2" t="s">
        <v>4</v>
      </c>
      <c r="D3" s="2" t="s">
        <v>137</v>
      </c>
      <c r="E3" s="3" t="s">
        <v>138</v>
      </c>
      <c r="H3" s="138" t="s">
        <v>139</v>
      </c>
      <c r="I3" s="139"/>
      <c r="J3" s="139"/>
      <c r="K3" s="139"/>
      <c r="L3" s="139"/>
      <c r="M3" s="139"/>
      <c r="N3" s="139"/>
      <c r="O3" s="139"/>
      <c r="P3" s="139"/>
      <c r="Q3" s="139"/>
      <c r="R3" s="140"/>
    </row>
    <row r="4" spans="2:18" x14ac:dyDescent="0.25">
      <c r="B4" s="4" t="s">
        <v>140</v>
      </c>
      <c r="C4">
        <v>1.01</v>
      </c>
      <c r="D4">
        <v>0</v>
      </c>
      <c r="E4" s="5">
        <v>-3</v>
      </c>
      <c r="H4" s="141" t="s">
        <v>141</v>
      </c>
      <c r="I4" s="142"/>
      <c r="J4" s="142"/>
      <c r="K4" s="142"/>
      <c r="L4" s="142"/>
      <c r="M4" s="142"/>
      <c r="N4" s="142"/>
      <c r="O4" s="142"/>
      <c r="P4" s="142"/>
      <c r="Q4" s="142"/>
      <c r="R4" s="16" t="s">
        <v>142</v>
      </c>
    </row>
    <row r="5" spans="2:18" x14ac:dyDescent="0.25">
      <c r="B5" s="4" t="s">
        <v>121</v>
      </c>
      <c r="C5">
        <v>1.02</v>
      </c>
      <c r="D5">
        <v>-1</v>
      </c>
      <c r="E5" s="5">
        <v>1</v>
      </c>
      <c r="H5" s="141" t="s">
        <v>143</v>
      </c>
      <c r="I5" s="10">
        <v>2.0099999999999998</v>
      </c>
      <c r="J5" s="10">
        <v>1</v>
      </c>
      <c r="K5" s="10">
        <v>1</v>
      </c>
      <c r="L5" s="10">
        <v>1</v>
      </c>
      <c r="M5" s="10">
        <v>2</v>
      </c>
      <c r="N5" s="10">
        <v>2</v>
      </c>
      <c r="O5" s="10">
        <v>2</v>
      </c>
      <c r="P5" s="10">
        <v>3</v>
      </c>
      <c r="Q5" s="10">
        <v>3</v>
      </c>
      <c r="R5" s="11">
        <v>3</v>
      </c>
    </row>
    <row r="6" spans="2:18" x14ac:dyDescent="0.25">
      <c r="B6" s="4" t="s">
        <v>121</v>
      </c>
      <c r="C6">
        <v>1.03</v>
      </c>
      <c r="D6">
        <v>-1</v>
      </c>
      <c r="E6" s="5">
        <v>1</v>
      </c>
      <c r="H6" s="141"/>
      <c r="I6" s="10">
        <v>2.02</v>
      </c>
      <c r="J6" s="10">
        <v>1</v>
      </c>
      <c r="K6" s="10">
        <v>2</v>
      </c>
      <c r="L6" s="10">
        <v>3</v>
      </c>
      <c r="M6" s="10">
        <v>1</v>
      </c>
      <c r="N6" s="10">
        <v>2</v>
      </c>
      <c r="O6" s="10">
        <v>3</v>
      </c>
      <c r="P6" s="10">
        <v>1</v>
      </c>
      <c r="Q6" s="10">
        <v>2</v>
      </c>
      <c r="R6" s="11">
        <v>3</v>
      </c>
    </row>
    <row r="7" spans="2:18" x14ac:dyDescent="0.25">
      <c r="B7" s="4"/>
      <c r="C7">
        <v>2.0099999999999998</v>
      </c>
      <c r="D7" s="126" t="s">
        <v>144</v>
      </c>
      <c r="E7" s="127"/>
      <c r="H7" s="121" t="s">
        <v>145</v>
      </c>
      <c r="I7" s="10">
        <v>3.01</v>
      </c>
      <c r="J7" s="10">
        <v>2</v>
      </c>
      <c r="K7" s="10">
        <v>1</v>
      </c>
      <c r="L7" s="10">
        <v>1</v>
      </c>
      <c r="M7" s="10">
        <v>2</v>
      </c>
      <c r="N7" s="10">
        <v>2</v>
      </c>
      <c r="O7" s="10">
        <v>1</v>
      </c>
      <c r="P7" s="10">
        <v>2</v>
      </c>
      <c r="Q7" s="10">
        <v>2</v>
      </c>
      <c r="R7" s="11">
        <v>2</v>
      </c>
    </row>
    <row r="8" spans="2:18" x14ac:dyDescent="0.25">
      <c r="B8" s="4"/>
      <c r="C8">
        <v>2.02</v>
      </c>
      <c r="D8" s="128"/>
      <c r="E8" s="129"/>
      <c r="H8" s="121"/>
      <c r="I8" s="10">
        <v>3.02</v>
      </c>
      <c r="J8" s="10">
        <v>2</v>
      </c>
      <c r="K8" s="10">
        <v>1</v>
      </c>
      <c r="L8" s="10">
        <v>1</v>
      </c>
      <c r="M8" s="10">
        <v>2</v>
      </c>
      <c r="N8" s="10">
        <v>2</v>
      </c>
      <c r="O8" s="10">
        <v>1</v>
      </c>
      <c r="P8" s="10">
        <v>2</v>
      </c>
      <c r="Q8" s="10">
        <v>2</v>
      </c>
      <c r="R8" s="11">
        <v>2</v>
      </c>
    </row>
    <row r="9" spans="2:18" x14ac:dyDescent="0.25">
      <c r="B9" s="4" t="s">
        <v>121</v>
      </c>
      <c r="C9">
        <v>2.0299999999999998</v>
      </c>
      <c r="D9">
        <v>0</v>
      </c>
      <c r="E9" s="5">
        <v>1</v>
      </c>
      <c r="H9" s="121"/>
      <c r="I9" s="10">
        <v>3.03</v>
      </c>
      <c r="J9" s="10">
        <v>4</v>
      </c>
      <c r="K9" s="10">
        <v>2</v>
      </c>
      <c r="L9" s="10">
        <v>1</v>
      </c>
      <c r="M9" s="10">
        <v>4</v>
      </c>
      <c r="N9" s="10">
        <v>3</v>
      </c>
      <c r="O9" s="10">
        <v>2</v>
      </c>
      <c r="P9" s="10">
        <v>4</v>
      </c>
      <c r="Q9" s="10">
        <v>4</v>
      </c>
      <c r="R9" s="11">
        <v>4</v>
      </c>
    </row>
    <row r="10" spans="2:18" x14ac:dyDescent="0.25">
      <c r="B10" s="4" t="s">
        <v>121</v>
      </c>
      <c r="C10">
        <v>2.04</v>
      </c>
      <c r="D10">
        <v>0</v>
      </c>
      <c r="E10" s="5">
        <v>1</v>
      </c>
      <c r="H10" s="121"/>
      <c r="I10" s="10">
        <v>3.04</v>
      </c>
      <c r="J10" s="10">
        <v>4</v>
      </c>
      <c r="K10" s="10">
        <v>2</v>
      </c>
      <c r="L10" s="10">
        <v>1</v>
      </c>
      <c r="M10" s="10">
        <v>4</v>
      </c>
      <c r="N10" s="10">
        <v>3</v>
      </c>
      <c r="O10" s="10">
        <v>2</v>
      </c>
      <c r="P10" s="10">
        <v>4</v>
      </c>
      <c r="Q10" s="10">
        <v>4</v>
      </c>
      <c r="R10" s="11">
        <v>4</v>
      </c>
    </row>
    <row r="11" spans="2:18" x14ac:dyDescent="0.25">
      <c r="B11" s="4"/>
      <c r="C11">
        <v>2.0499999999999998</v>
      </c>
      <c r="E11" s="5"/>
      <c r="H11" s="121"/>
      <c r="I11" s="10">
        <v>3.05</v>
      </c>
      <c r="J11" s="10">
        <v>2</v>
      </c>
      <c r="K11" s="10">
        <v>1</v>
      </c>
      <c r="L11" s="10">
        <v>1</v>
      </c>
      <c r="M11" s="10">
        <v>2</v>
      </c>
      <c r="N11" s="10">
        <v>2</v>
      </c>
      <c r="O11" s="10">
        <v>1</v>
      </c>
      <c r="P11" s="10">
        <v>2</v>
      </c>
      <c r="Q11" s="10">
        <v>2</v>
      </c>
      <c r="R11" s="11">
        <v>2</v>
      </c>
    </row>
    <row r="12" spans="2:18" x14ac:dyDescent="0.25">
      <c r="B12" s="4" t="s">
        <v>121</v>
      </c>
      <c r="C12">
        <v>3.01</v>
      </c>
      <c r="D12" s="130" t="s">
        <v>146</v>
      </c>
      <c r="E12" s="131"/>
      <c r="H12" s="119" t="s">
        <v>147</v>
      </c>
      <c r="I12" s="120"/>
      <c r="J12" s="120"/>
      <c r="K12" s="120"/>
      <c r="L12" s="120"/>
      <c r="M12" s="120"/>
      <c r="N12" s="120"/>
      <c r="O12" s="120"/>
      <c r="P12" s="120"/>
      <c r="Q12" s="120"/>
      <c r="R12" s="123"/>
    </row>
    <row r="13" spans="2:18" x14ac:dyDescent="0.25">
      <c r="B13" s="4" t="s">
        <v>148</v>
      </c>
      <c r="C13">
        <v>3.02</v>
      </c>
      <c r="D13" s="132"/>
      <c r="E13" s="133"/>
      <c r="H13" s="4" t="s">
        <v>149</v>
      </c>
      <c r="I13" s="10">
        <v>2.0499999999999998</v>
      </c>
      <c r="J13" s="10" t="s">
        <v>84</v>
      </c>
      <c r="K13" s="10" t="s">
        <v>150</v>
      </c>
      <c r="L13" s="10" t="s">
        <v>151</v>
      </c>
      <c r="M13" s="120"/>
      <c r="N13" s="120"/>
      <c r="O13" s="120"/>
      <c r="P13" s="120"/>
      <c r="Q13" s="120"/>
      <c r="R13" s="123"/>
    </row>
    <row r="14" spans="2:18" x14ac:dyDescent="0.25">
      <c r="B14" s="4" t="s">
        <v>119</v>
      </c>
      <c r="C14">
        <v>3.03</v>
      </c>
      <c r="D14" s="132"/>
      <c r="E14" s="133"/>
      <c r="H14" s="121" t="s">
        <v>145</v>
      </c>
      <c r="I14" s="10">
        <v>3.01</v>
      </c>
      <c r="J14" s="10">
        <v>-1</v>
      </c>
      <c r="K14" s="10">
        <v>0</v>
      </c>
      <c r="L14" s="10">
        <v>-2</v>
      </c>
      <c r="M14" s="120"/>
      <c r="N14" s="120"/>
      <c r="O14" s="120"/>
      <c r="P14" s="120"/>
      <c r="Q14" s="120"/>
      <c r="R14" s="123"/>
    </row>
    <row r="15" spans="2:18" ht="15.75" thickBot="1" x14ac:dyDescent="0.3">
      <c r="B15" s="4" t="s">
        <v>148</v>
      </c>
      <c r="C15">
        <v>3.04</v>
      </c>
      <c r="D15" s="132"/>
      <c r="E15" s="133"/>
      <c r="H15" s="122"/>
      <c r="I15" s="13" t="s">
        <v>152</v>
      </c>
      <c r="J15" s="13">
        <v>0</v>
      </c>
      <c r="K15" s="13">
        <v>0</v>
      </c>
      <c r="L15" s="13">
        <v>0</v>
      </c>
      <c r="M15" s="124"/>
      <c r="N15" s="124"/>
      <c r="O15" s="124"/>
      <c r="P15" s="124"/>
      <c r="Q15" s="124"/>
      <c r="R15" s="125"/>
    </row>
    <row r="16" spans="2:18" x14ac:dyDescent="0.25">
      <c r="B16" s="4" t="s">
        <v>121</v>
      </c>
      <c r="C16">
        <v>3.05</v>
      </c>
      <c r="D16" s="134"/>
      <c r="E16" s="135"/>
    </row>
    <row r="17" spans="2:11" x14ac:dyDescent="0.25">
      <c r="B17" s="4" t="s">
        <v>153</v>
      </c>
      <c r="C17">
        <v>4.01</v>
      </c>
      <c r="D17">
        <v>0</v>
      </c>
      <c r="E17" s="5">
        <v>1</v>
      </c>
    </row>
    <row r="18" spans="2:11" ht="15.75" thickBot="1" x14ac:dyDescent="0.3">
      <c r="B18" s="4" t="s">
        <v>121</v>
      </c>
      <c r="C18">
        <v>4.0199999999999996</v>
      </c>
      <c r="D18">
        <v>0</v>
      </c>
      <c r="E18" s="5">
        <v>1</v>
      </c>
    </row>
    <row r="19" spans="2:11" x14ac:dyDescent="0.25">
      <c r="B19" s="4" t="s">
        <v>121</v>
      </c>
      <c r="C19">
        <v>4.03</v>
      </c>
      <c r="D19">
        <v>0</v>
      </c>
      <c r="E19" s="5">
        <v>1</v>
      </c>
      <c r="H19" s="116" t="s">
        <v>154</v>
      </c>
      <c r="I19" s="117"/>
      <c r="J19" s="117"/>
      <c r="K19" s="118"/>
    </row>
    <row r="20" spans="2:11" x14ac:dyDescent="0.25">
      <c r="B20" s="4" t="s">
        <v>119</v>
      </c>
      <c r="C20">
        <v>4.04</v>
      </c>
      <c r="D20">
        <v>-1</v>
      </c>
      <c r="E20" s="5">
        <v>1</v>
      </c>
      <c r="H20" s="4" t="s">
        <v>155</v>
      </c>
      <c r="I20" s="12">
        <v>1</v>
      </c>
      <c r="J20" s="12">
        <v>2</v>
      </c>
      <c r="K20" s="9">
        <v>4</v>
      </c>
    </row>
    <row r="21" spans="2:11" ht="15.75" thickBot="1" x14ac:dyDescent="0.3">
      <c r="B21" s="4" t="s">
        <v>121</v>
      </c>
      <c r="C21">
        <v>4.05</v>
      </c>
      <c r="D21">
        <v>0</v>
      </c>
      <c r="E21" s="5">
        <v>1</v>
      </c>
      <c r="H21" s="6" t="s">
        <v>6</v>
      </c>
      <c r="I21" s="14">
        <v>1</v>
      </c>
      <c r="J21" s="14">
        <v>0</v>
      </c>
      <c r="K21" s="15">
        <v>-1</v>
      </c>
    </row>
    <row r="22" spans="2:11" x14ac:dyDescent="0.25">
      <c r="B22" s="4" t="s">
        <v>121</v>
      </c>
      <c r="C22">
        <v>4.0599999999999996</v>
      </c>
      <c r="D22">
        <v>0</v>
      </c>
      <c r="E22" s="5">
        <v>1</v>
      </c>
    </row>
    <row r="23" spans="2:11" x14ac:dyDescent="0.25">
      <c r="B23" s="4" t="s">
        <v>121</v>
      </c>
      <c r="C23">
        <v>4.07</v>
      </c>
      <c r="D23">
        <v>0</v>
      </c>
      <c r="E23" s="5">
        <v>1</v>
      </c>
    </row>
    <row r="24" spans="2:11" ht="15.75" thickBot="1" x14ac:dyDescent="0.3">
      <c r="B24" s="4" t="s">
        <v>148</v>
      </c>
      <c r="C24">
        <v>4.08</v>
      </c>
      <c r="D24">
        <v>0</v>
      </c>
      <c r="E24" s="5">
        <v>1</v>
      </c>
    </row>
    <row r="25" spans="2:11" x14ac:dyDescent="0.25">
      <c r="B25" s="4" t="s">
        <v>148</v>
      </c>
      <c r="C25">
        <v>4.09</v>
      </c>
      <c r="D25">
        <v>0</v>
      </c>
      <c r="E25" s="5">
        <v>1</v>
      </c>
      <c r="H25" s="143" t="s">
        <v>156</v>
      </c>
      <c r="I25" s="144"/>
      <c r="J25" s="144"/>
      <c r="K25" s="145"/>
    </row>
    <row r="26" spans="2:11" x14ac:dyDescent="0.25">
      <c r="B26" s="4" t="s">
        <v>148</v>
      </c>
      <c r="C26">
        <v>4.0999999999999996</v>
      </c>
      <c r="D26">
        <v>0</v>
      </c>
      <c r="E26" s="5">
        <v>1</v>
      </c>
      <c r="H26" s="95" t="s">
        <v>157</v>
      </c>
      <c r="I26" s="146" t="str">
        <f>IF(OR('WRA Worksheet'!C65="?",'WRA Worksheet'!C66="?",'WRA Worksheet'!C67="?",'WRA Worksheet'!C67="no"),"eval.",IF(AND('WRA Worksheet'!C65="yes",'WRA Worksheet'!C66="yes",'WRA Worksheet'!C67="yes"),"reject",IF(OR('WRA Worksheet'!C65="no",'WRA Worksheet'!C66="no"),"accept","")))</f>
        <v/>
      </c>
      <c r="J26" s="146"/>
      <c r="K26" s="147"/>
    </row>
    <row r="27" spans="2:11" ht="15.75" thickBot="1" x14ac:dyDescent="0.3">
      <c r="B27" s="4" t="s">
        <v>148</v>
      </c>
      <c r="C27">
        <v>4.1100000000000003</v>
      </c>
      <c r="D27">
        <v>0</v>
      </c>
      <c r="E27" s="5">
        <v>1</v>
      </c>
      <c r="H27" s="96" t="s">
        <v>158</v>
      </c>
      <c r="I27" s="148" t="str">
        <f>IF('WRA Worksheet'!C68="no","accept",IF(AND('WRA Worksheet'!C68="yes",OR('WRA Worksheet'!C69="yes",'WRA Worksheet'!C70="yes")),"reject",IF(OR('WRA Worksheet'!C68="?",'WRA Worksheet'!C69="?",'WRA Worksheet'!C70="?",'WRA Worksheet'!C69="no",'WRA Worksheet'!C70="no"),"eval.","")))</f>
        <v/>
      </c>
      <c r="J27" s="148"/>
      <c r="K27" s="149"/>
    </row>
    <row r="28" spans="2:11" x14ac:dyDescent="0.25">
      <c r="B28" s="4" t="s">
        <v>121</v>
      </c>
      <c r="C28">
        <v>4.12</v>
      </c>
      <c r="D28">
        <v>0</v>
      </c>
      <c r="E28" s="5">
        <v>1</v>
      </c>
    </row>
    <row r="29" spans="2:11" x14ac:dyDescent="0.25">
      <c r="B29" s="4" t="s">
        <v>159</v>
      </c>
      <c r="C29">
        <v>5.01</v>
      </c>
      <c r="D29">
        <v>0</v>
      </c>
      <c r="E29" s="5">
        <v>5</v>
      </c>
    </row>
    <row r="30" spans="2:11" x14ac:dyDescent="0.25">
      <c r="B30" s="4" t="s">
        <v>121</v>
      </c>
      <c r="C30">
        <v>5.0199999999999996</v>
      </c>
      <c r="D30">
        <v>0</v>
      </c>
      <c r="E30" s="5">
        <v>1</v>
      </c>
    </row>
    <row r="31" spans="2:11" x14ac:dyDescent="0.25">
      <c r="B31" s="4" t="s">
        <v>148</v>
      </c>
      <c r="C31">
        <v>5.03</v>
      </c>
      <c r="D31">
        <v>0</v>
      </c>
      <c r="E31" s="5">
        <v>1</v>
      </c>
    </row>
    <row r="32" spans="2:11" x14ac:dyDescent="0.25">
      <c r="B32" s="4" t="s">
        <v>121</v>
      </c>
      <c r="C32">
        <v>5.04</v>
      </c>
      <c r="D32">
        <v>0</v>
      </c>
      <c r="E32" s="5">
        <v>1</v>
      </c>
    </row>
    <row r="33" spans="2:5" x14ac:dyDescent="0.25">
      <c r="B33" s="4" t="s">
        <v>121</v>
      </c>
      <c r="C33">
        <v>6.01</v>
      </c>
      <c r="D33">
        <v>0</v>
      </c>
      <c r="E33" s="5">
        <v>1</v>
      </c>
    </row>
    <row r="34" spans="2:5" x14ac:dyDescent="0.25">
      <c r="B34" s="4" t="s">
        <v>121</v>
      </c>
      <c r="C34">
        <v>6.02</v>
      </c>
      <c r="D34">
        <v>-1</v>
      </c>
      <c r="E34" s="5">
        <v>1</v>
      </c>
    </row>
    <row r="35" spans="2:5" x14ac:dyDescent="0.25">
      <c r="B35" s="4" t="s">
        <v>119</v>
      </c>
      <c r="C35">
        <v>6.03</v>
      </c>
      <c r="D35">
        <v>-1</v>
      </c>
      <c r="E35" s="5">
        <v>1</v>
      </c>
    </row>
    <row r="36" spans="2:5" x14ac:dyDescent="0.25">
      <c r="B36" s="4" t="s">
        <v>121</v>
      </c>
      <c r="C36">
        <v>6.04</v>
      </c>
      <c r="D36">
        <v>-1</v>
      </c>
      <c r="E36" s="5">
        <v>1</v>
      </c>
    </row>
    <row r="37" spans="2:5" x14ac:dyDescent="0.25">
      <c r="B37" s="4" t="s">
        <v>121</v>
      </c>
      <c r="C37">
        <v>6.05</v>
      </c>
      <c r="D37">
        <v>0</v>
      </c>
      <c r="E37" s="5">
        <v>-1</v>
      </c>
    </row>
    <row r="38" spans="2:5" x14ac:dyDescent="0.25">
      <c r="B38" s="4" t="s">
        <v>119</v>
      </c>
      <c r="C38">
        <v>6.06</v>
      </c>
      <c r="D38">
        <v>-1</v>
      </c>
      <c r="E38" s="5">
        <v>1</v>
      </c>
    </row>
    <row r="39" spans="2:5" x14ac:dyDescent="0.25">
      <c r="B39" s="4" t="s">
        <v>121</v>
      </c>
      <c r="C39">
        <v>6.07</v>
      </c>
      <c r="D39" s="136" t="s">
        <v>160</v>
      </c>
      <c r="E39" s="137"/>
    </row>
    <row r="40" spans="2:5" x14ac:dyDescent="0.25">
      <c r="B40" s="4" t="s">
        <v>119</v>
      </c>
      <c r="C40">
        <v>7.01</v>
      </c>
      <c r="D40">
        <v>-1</v>
      </c>
      <c r="E40" s="5">
        <v>1</v>
      </c>
    </row>
    <row r="41" spans="2:5" x14ac:dyDescent="0.25">
      <c r="B41" s="4" t="s">
        <v>121</v>
      </c>
      <c r="C41">
        <v>7.02</v>
      </c>
      <c r="D41">
        <v>-1</v>
      </c>
      <c r="E41" s="5">
        <v>1</v>
      </c>
    </row>
    <row r="42" spans="2:5" x14ac:dyDescent="0.25">
      <c r="B42" s="4" t="s">
        <v>119</v>
      </c>
      <c r="C42">
        <v>7.03</v>
      </c>
      <c r="D42">
        <v>-1</v>
      </c>
      <c r="E42" s="5">
        <v>1</v>
      </c>
    </row>
    <row r="43" spans="2:5" x14ac:dyDescent="0.25">
      <c r="B43" s="4" t="s">
        <v>121</v>
      </c>
      <c r="C43">
        <v>7.04</v>
      </c>
      <c r="D43">
        <v>-1</v>
      </c>
      <c r="E43" s="5">
        <v>1</v>
      </c>
    </row>
    <row r="44" spans="2:5" x14ac:dyDescent="0.25">
      <c r="B44" s="4" t="s">
        <v>148</v>
      </c>
      <c r="C44">
        <v>7.05</v>
      </c>
      <c r="D44">
        <v>-1</v>
      </c>
      <c r="E44" s="5">
        <v>1</v>
      </c>
    </row>
    <row r="45" spans="2:5" x14ac:dyDescent="0.25">
      <c r="B45" s="4" t="s">
        <v>148</v>
      </c>
      <c r="C45">
        <v>7.06</v>
      </c>
      <c r="D45">
        <v>-1</v>
      </c>
      <c r="E45" s="5">
        <v>1</v>
      </c>
    </row>
    <row r="46" spans="2:5" x14ac:dyDescent="0.25">
      <c r="B46" s="4" t="s">
        <v>121</v>
      </c>
      <c r="C46">
        <v>7.07</v>
      </c>
      <c r="D46">
        <v>-1</v>
      </c>
      <c r="E46" s="5">
        <v>1</v>
      </c>
    </row>
    <row r="47" spans="2:5" x14ac:dyDescent="0.25">
      <c r="B47" s="4" t="s">
        <v>121</v>
      </c>
      <c r="C47">
        <v>7.08</v>
      </c>
      <c r="D47">
        <v>-1</v>
      </c>
      <c r="E47" s="5">
        <v>1</v>
      </c>
    </row>
    <row r="48" spans="2:5" x14ac:dyDescent="0.25">
      <c r="B48" s="4" t="s">
        <v>121</v>
      </c>
      <c r="C48">
        <v>8.01</v>
      </c>
      <c r="D48">
        <v>-1</v>
      </c>
      <c r="E48" s="5">
        <v>1</v>
      </c>
    </row>
    <row r="49" spans="2:5" x14ac:dyDescent="0.25">
      <c r="B49" s="4" t="s">
        <v>121</v>
      </c>
      <c r="C49">
        <v>8.02</v>
      </c>
      <c r="D49">
        <v>-1</v>
      </c>
      <c r="E49" s="5">
        <v>1</v>
      </c>
    </row>
    <row r="50" spans="2:5" x14ac:dyDescent="0.25">
      <c r="B50" s="4" t="s">
        <v>119</v>
      </c>
      <c r="C50">
        <v>8.0299999999999994</v>
      </c>
      <c r="D50">
        <v>1</v>
      </c>
      <c r="E50" s="5">
        <v>-1</v>
      </c>
    </row>
    <row r="51" spans="2:5" x14ac:dyDescent="0.25">
      <c r="B51" s="4" t="s">
        <v>119</v>
      </c>
      <c r="C51">
        <v>8.0399999999999991</v>
      </c>
      <c r="D51">
        <v>-1</v>
      </c>
      <c r="E51" s="5">
        <v>1</v>
      </c>
    </row>
    <row r="52" spans="2:5" x14ac:dyDescent="0.25">
      <c r="B52" s="4" t="s">
        <v>121</v>
      </c>
      <c r="C52">
        <v>8.0500000000000007</v>
      </c>
      <c r="D52">
        <v>1</v>
      </c>
      <c r="E52" s="5">
        <v>-1</v>
      </c>
    </row>
    <row r="53" spans="2:5" x14ac:dyDescent="0.25">
      <c r="B53" s="4"/>
      <c r="E53" s="5"/>
    </row>
    <row r="54" spans="2:5" ht="15.75" thickBot="1" x14ac:dyDescent="0.3">
      <c r="B54" s="6"/>
      <c r="C54" s="7"/>
      <c r="D54" s="7"/>
      <c r="E54" s="8"/>
    </row>
  </sheetData>
  <sheetProtection algorithmName="SHA-512" hashValue="0mtPXeV4RFX+M/sGdOGKeuK5NWlJbk/75EF/Z/DHrnEM9OlRwDreGoshUwzHDRLvA3A9Y2G+zbNh26ykXbCpNg==" saltValue="1/xWeOpxhY5vxCpyg9dG1A==" spinCount="100000" sheet="1" objects="1" scenarios="1"/>
  <mergeCells count="15">
    <mergeCell ref="D7:E8"/>
    <mergeCell ref="D12:E16"/>
    <mergeCell ref="D39:E39"/>
    <mergeCell ref="H3:R3"/>
    <mergeCell ref="H4:Q4"/>
    <mergeCell ref="H5:H6"/>
    <mergeCell ref="H7:H11"/>
    <mergeCell ref="H25:K25"/>
    <mergeCell ref="I26:K26"/>
    <mergeCell ref="I27:K27"/>
    <mergeCell ref="H2:R2"/>
    <mergeCell ref="H12:L12"/>
    <mergeCell ref="H14:H15"/>
    <mergeCell ref="M12:R15"/>
    <mergeCell ref="H19:K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724D-15DB-4E0F-87F1-EE2DC5DF0787}">
  <dimension ref="A1:D61"/>
  <sheetViews>
    <sheetView workbookViewId="0">
      <selection activeCell="G1" sqref="G1"/>
    </sheetView>
  </sheetViews>
  <sheetFormatPr defaultColWidth="8.85546875" defaultRowHeight="15" x14ac:dyDescent="0.25"/>
  <cols>
    <col min="1" max="1" width="7.140625" customWidth="1"/>
    <col min="2" max="2" width="64.42578125" customWidth="1"/>
  </cols>
  <sheetData>
    <row r="1" spans="1:4" ht="109.5" customHeight="1" x14ac:dyDescent="0.25">
      <c r="A1" s="153" t="str">
        <f>'WRA Worksheet'!F1</f>
        <v>Assessment date: 01 July 2025 Prepared by Cameron Deelstra</v>
      </c>
      <c r="B1" s="154"/>
      <c r="C1" s="154"/>
      <c r="D1" s="98" t="s">
        <v>161</v>
      </c>
    </row>
    <row r="2" spans="1:4" ht="18.75" x14ac:dyDescent="0.25">
      <c r="A2" s="150" t="s">
        <v>162</v>
      </c>
      <c r="B2" s="151"/>
      <c r="C2" s="73" t="s">
        <v>5</v>
      </c>
      <c r="D2" s="73" t="s">
        <v>6</v>
      </c>
    </row>
    <row r="3" spans="1:4" x14ac:dyDescent="0.25">
      <c r="A3" s="74">
        <v>1.01</v>
      </c>
      <c r="B3" s="75" t="s">
        <v>10</v>
      </c>
      <c r="C3" s="76" t="str">
        <f>'WRA Worksheet'!C3</f>
        <v>n</v>
      </c>
      <c r="D3" s="82">
        <f>'WRA Worksheet'!D3</f>
        <v>0</v>
      </c>
    </row>
    <row r="4" spans="1:4" x14ac:dyDescent="0.25">
      <c r="A4" s="74">
        <v>1.02</v>
      </c>
      <c r="B4" s="75" t="s">
        <v>13</v>
      </c>
      <c r="C4" s="76">
        <f>'WRA Worksheet'!C4</f>
        <v>0</v>
      </c>
      <c r="D4" s="82" t="str">
        <f>'WRA Worksheet'!D4</f>
        <v xml:space="preserve"> </v>
      </c>
    </row>
    <row r="5" spans="1:4" x14ac:dyDescent="0.25">
      <c r="A5" s="74">
        <v>1.03</v>
      </c>
      <c r="B5" s="75" t="s">
        <v>14</v>
      </c>
      <c r="C5" s="76">
        <f>'WRA Worksheet'!C5</f>
        <v>0</v>
      </c>
      <c r="D5" s="82" t="str">
        <f>'WRA Worksheet'!D5</f>
        <v xml:space="preserve"> </v>
      </c>
    </row>
    <row r="6" spans="1:4" ht="48" x14ac:dyDescent="0.25">
      <c r="A6" s="74">
        <v>2.0099999999999998</v>
      </c>
      <c r="B6" s="77" t="s">
        <v>163</v>
      </c>
      <c r="C6" s="76">
        <f>'WRA Worksheet'!C6</f>
        <v>3</v>
      </c>
      <c r="D6" s="83"/>
    </row>
    <row r="7" spans="1:4" x14ac:dyDescent="0.25">
      <c r="A7" s="74">
        <v>2.02</v>
      </c>
      <c r="B7" s="75" t="s">
        <v>164</v>
      </c>
      <c r="C7" s="76">
        <f>'WRA Worksheet'!C7</f>
        <v>3</v>
      </c>
      <c r="D7" s="83"/>
    </row>
    <row r="8" spans="1:4" x14ac:dyDescent="0.25">
      <c r="A8" s="74">
        <v>2.0299999999999998</v>
      </c>
      <c r="B8" s="75" t="s">
        <v>19</v>
      </c>
      <c r="C8" s="76" t="str">
        <f>'WRA Worksheet'!C8</f>
        <v>y</v>
      </c>
      <c r="D8" s="82">
        <f>'WRA Worksheet'!D8</f>
        <v>1</v>
      </c>
    </row>
    <row r="9" spans="1:4" ht="48" x14ac:dyDescent="0.25">
      <c r="A9" s="74">
        <v>2.04</v>
      </c>
      <c r="B9" s="78" t="s">
        <v>21</v>
      </c>
      <c r="C9" s="76" t="str">
        <f>'WRA Worksheet'!C9</f>
        <v>y</v>
      </c>
      <c r="D9" s="82">
        <f>'WRA Worksheet'!D9</f>
        <v>1</v>
      </c>
    </row>
    <row r="10" spans="1:4" ht="30" x14ac:dyDescent="0.25">
      <c r="A10" s="74">
        <v>2.0499999999999998</v>
      </c>
      <c r="B10" s="75" t="s">
        <v>24</v>
      </c>
      <c r="C10" s="79" t="str">
        <f>'WRA Worksheet'!C10</f>
        <v>y</v>
      </c>
      <c r="D10" s="83"/>
    </row>
    <row r="11" spans="1:4" x14ac:dyDescent="0.25">
      <c r="A11" s="74">
        <v>3.01</v>
      </c>
      <c r="B11" s="75" t="s">
        <v>27</v>
      </c>
      <c r="C11" s="76" t="str">
        <f>'WRA Worksheet'!C11</f>
        <v>y</v>
      </c>
      <c r="D11" s="82">
        <f>'WRA Worksheet'!D11</f>
        <v>2</v>
      </c>
    </row>
    <row r="12" spans="1:4" x14ac:dyDescent="0.25">
      <c r="A12" s="74">
        <v>3.02</v>
      </c>
      <c r="B12" s="75" t="s">
        <v>29</v>
      </c>
      <c r="C12" s="76" t="str">
        <f>'WRA Worksheet'!C12</f>
        <v>y</v>
      </c>
      <c r="D12" s="82">
        <f>'WRA Worksheet'!D12</f>
        <v>2</v>
      </c>
    </row>
    <row r="13" spans="1:4" x14ac:dyDescent="0.25">
      <c r="A13" s="74">
        <v>3.03</v>
      </c>
      <c r="B13" s="75" t="s">
        <v>32</v>
      </c>
      <c r="C13" s="76" t="str">
        <f>'WRA Worksheet'!C13</f>
        <v>y</v>
      </c>
      <c r="D13" s="82">
        <f>'WRA Worksheet'!D13</f>
        <v>4</v>
      </c>
    </row>
    <row r="14" spans="1:4" x14ac:dyDescent="0.25">
      <c r="A14" s="74">
        <v>3.04</v>
      </c>
      <c r="B14" s="75" t="s">
        <v>35</v>
      </c>
      <c r="C14" s="76" t="str">
        <f>'WRA Worksheet'!C14</f>
        <v>y</v>
      </c>
      <c r="D14" s="82">
        <f>'WRA Worksheet'!D14</f>
        <v>4</v>
      </c>
    </row>
    <row r="15" spans="1:4" x14ac:dyDescent="0.25">
      <c r="A15" s="74">
        <v>3.05</v>
      </c>
      <c r="B15" s="75" t="s">
        <v>38</v>
      </c>
      <c r="C15" s="76" t="str">
        <f>'WRA Worksheet'!C15</f>
        <v>y</v>
      </c>
      <c r="D15" s="82">
        <f>'WRA Worksheet'!D15</f>
        <v>2</v>
      </c>
    </row>
    <row r="16" spans="1:4" x14ac:dyDescent="0.25">
      <c r="A16" s="74">
        <v>4.01</v>
      </c>
      <c r="B16" s="75" t="s">
        <v>41</v>
      </c>
      <c r="C16" s="76" t="str">
        <f>'WRA Worksheet'!C16</f>
        <v>n</v>
      </c>
      <c r="D16" s="82">
        <f>'WRA Worksheet'!D16</f>
        <v>0</v>
      </c>
    </row>
    <row r="17" spans="1:4" x14ac:dyDescent="0.25">
      <c r="A17" s="74">
        <v>4.0199999999999996</v>
      </c>
      <c r="B17" s="75" t="s">
        <v>43</v>
      </c>
      <c r="C17" s="76" t="str">
        <f>'WRA Worksheet'!C17</f>
        <v>n</v>
      </c>
      <c r="D17" s="82">
        <f>'WRA Worksheet'!D17</f>
        <v>0</v>
      </c>
    </row>
    <row r="18" spans="1:4" x14ac:dyDescent="0.25">
      <c r="A18" s="74">
        <v>4.03</v>
      </c>
      <c r="B18" s="75" t="s">
        <v>45</v>
      </c>
      <c r="C18" s="76" t="str">
        <f>'WRA Worksheet'!C18</f>
        <v>n</v>
      </c>
      <c r="D18" s="82">
        <f>'WRA Worksheet'!D18</f>
        <v>0</v>
      </c>
    </row>
    <row r="19" spans="1:4" x14ac:dyDescent="0.25">
      <c r="A19" s="74">
        <v>4.04</v>
      </c>
      <c r="B19" s="75" t="s">
        <v>47</v>
      </c>
      <c r="C19" s="76" t="str">
        <f>'WRA Worksheet'!C19</f>
        <v>n</v>
      </c>
      <c r="D19" s="82">
        <f>'WRA Worksheet'!D19</f>
        <v>-1</v>
      </c>
    </row>
    <row r="20" spans="1:4" x14ac:dyDescent="0.25">
      <c r="A20" s="74">
        <v>4.05</v>
      </c>
      <c r="B20" s="75" t="s">
        <v>48</v>
      </c>
      <c r="C20" s="76" t="str">
        <f>'WRA Worksheet'!C20</f>
        <v>n</v>
      </c>
      <c r="D20" s="82">
        <f>'WRA Worksheet'!D20</f>
        <v>0</v>
      </c>
    </row>
    <row r="21" spans="1:4" x14ac:dyDescent="0.25">
      <c r="A21" s="74">
        <v>4.0599999999999996</v>
      </c>
      <c r="B21" s="75" t="s">
        <v>49</v>
      </c>
      <c r="C21" s="76" t="str">
        <f>'WRA Worksheet'!C21</f>
        <v>y</v>
      </c>
      <c r="D21" s="82">
        <f>'WRA Worksheet'!D21</f>
        <v>1</v>
      </c>
    </row>
    <row r="22" spans="1:4" x14ac:dyDescent="0.25">
      <c r="A22" s="74">
        <v>4.07</v>
      </c>
      <c r="B22" s="75" t="s">
        <v>52</v>
      </c>
      <c r="C22" s="76" t="str">
        <f>'WRA Worksheet'!C22</f>
        <v>n</v>
      </c>
      <c r="D22" s="82">
        <f>'WRA Worksheet'!D22</f>
        <v>0</v>
      </c>
    </row>
    <row r="23" spans="1:4" x14ac:dyDescent="0.25">
      <c r="A23" s="74">
        <v>4.08</v>
      </c>
      <c r="B23" s="75" t="s">
        <v>53</v>
      </c>
      <c r="C23" s="76" t="str">
        <f>'WRA Worksheet'!C23</f>
        <v>n</v>
      </c>
      <c r="D23" s="82">
        <f>'WRA Worksheet'!D23</f>
        <v>0</v>
      </c>
    </row>
    <row r="24" spans="1:4" x14ac:dyDescent="0.25">
      <c r="A24" s="74">
        <v>4.09</v>
      </c>
      <c r="B24" s="75" t="s">
        <v>54</v>
      </c>
      <c r="C24" s="76" t="str">
        <f>'WRA Worksheet'!C24</f>
        <v>n</v>
      </c>
      <c r="D24" s="82">
        <f>'WRA Worksheet'!D24</f>
        <v>0</v>
      </c>
    </row>
    <row r="25" spans="1:4" ht="45" x14ac:dyDescent="0.25">
      <c r="A25" s="74">
        <v>4.0999999999999996</v>
      </c>
      <c r="B25" s="80" t="s">
        <v>57</v>
      </c>
      <c r="C25" s="76" t="str">
        <f>'WRA Worksheet'!C25</f>
        <v>y</v>
      </c>
      <c r="D25" s="82">
        <f>'WRA Worksheet'!D25</f>
        <v>1</v>
      </c>
    </row>
    <row r="26" spans="1:4" x14ac:dyDescent="0.25">
      <c r="A26" s="74">
        <v>4.1100000000000003</v>
      </c>
      <c r="B26" s="75" t="s">
        <v>60</v>
      </c>
      <c r="C26" s="76" t="str">
        <f>'WRA Worksheet'!C26</f>
        <v>n</v>
      </c>
      <c r="D26" s="82">
        <f>'WRA Worksheet'!D26</f>
        <v>0</v>
      </c>
    </row>
    <row r="27" spans="1:4" x14ac:dyDescent="0.25">
      <c r="A27" s="74">
        <v>4.12</v>
      </c>
      <c r="B27" s="75" t="s">
        <v>62</v>
      </c>
      <c r="C27" s="76" t="str">
        <f>'WRA Worksheet'!C27</f>
        <v>y</v>
      </c>
      <c r="D27" s="82">
        <f>'WRA Worksheet'!D27</f>
        <v>1</v>
      </c>
    </row>
    <row r="28" spans="1:4" x14ac:dyDescent="0.25">
      <c r="A28" s="74">
        <v>5.01</v>
      </c>
      <c r="B28" s="75" t="s">
        <v>64</v>
      </c>
      <c r="C28" s="76" t="str">
        <f>'WRA Worksheet'!C28</f>
        <v>n</v>
      </c>
      <c r="D28" s="82">
        <f>'WRA Worksheet'!D28</f>
        <v>0</v>
      </c>
    </row>
    <row r="29" spans="1:4" x14ac:dyDescent="0.25">
      <c r="A29" s="74">
        <v>5.0199999999999996</v>
      </c>
      <c r="B29" s="75" t="s">
        <v>66</v>
      </c>
      <c r="C29" s="76" t="str">
        <f>'WRA Worksheet'!C29</f>
        <v>n</v>
      </c>
      <c r="D29" s="82">
        <f>'WRA Worksheet'!D29</f>
        <v>0</v>
      </c>
    </row>
    <row r="30" spans="1:4" x14ac:dyDescent="0.25">
      <c r="A30" s="74">
        <v>5.03</v>
      </c>
      <c r="B30" s="75" t="s">
        <v>68</v>
      </c>
      <c r="C30" s="76" t="str">
        <f>'WRA Worksheet'!C30</f>
        <v>n</v>
      </c>
      <c r="D30" s="82">
        <f>'WRA Worksheet'!D30</f>
        <v>0</v>
      </c>
    </row>
    <row r="31" spans="1:4" x14ac:dyDescent="0.25">
      <c r="A31" s="74">
        <v>5.04</v>
      </c>
      <c r="B31" s="75" t="s">
        <v>71</v>
      </c>
      <c r="C31" s="76" t="str">
        <f>'WRA Worksheet'!C31</f>
        <v>n</v>
      </c>
      <c r="D31" s="82">
        <f>'WRA Worksheet'!D31</f>
        <v>0</v>
      </c>
    </row>
    <row r="32" spans="1:4" x14ac:dyDescent="0.25">
      <c r="A32" s="74">
        <v>6.01</v>
      </c>
      <c r="B32" s="75" t="s">
        <v>73</v>
      </c>
      <c r="C32" s="76" t="str">
        <f>'WRA Worksheet'!C32</f>
        <v>n</v>
      </c>
      <c r="D32" s="82">
        <f>'WRA Worksheet'!D32</f>
        <v>0</v>
      </c>
    </row>
    <row r="33" spans="1:4" x14ac:dyDescent="0.25">
      <c r="A33" s="74">
        <v>6.02</v>
      </c>
      <c r="B33" s="75" t="s">
        <v>74</v>
      </c>
      <c r="C33" s="76" t="str">
        <f>'WRA Worksheet'!C33</f>
        <v>y</v>
      </c>
      <c r="D33" s="82">
        <f>'WRA Worksheet'!D33</f>
        <v>1</v>
      </c>
    </row>
    <row r="34" spans="1:4" x14ac:dyDescent="0.25">
      <c r="A34" s="74">
        <v>6.03</v>
      </c>
      <c r="B34" s="75" t="s">
        <v>77</v>
      </c>
      <c r="C34" s="76" t="str">
        <f>'WRA Worksheet'!C34</f>
        <v>n</v>
      </c>
      <c r="D34" s="82">
        <f>'WRA Worksheet'!D34</f>
        <v>-1</v>
      </c>
    </row>
    <row r="35" spans="1:4" x14ac:dyDescent="0.25">
      <c r="A35" s="74">
        <v>6.04</v>
      </c>
      <c r="B35" s="75" t="s">
        <v>78</v>
      </c>
      <c r="C35" s="76" t="str">
        <f>'WRA Worksheet'!C35</f>
        <v>n</v>
      </c>
      <c r="D35" s="82">
        <f>'WRA Worksheet'!D35</f>
        <v>-1</v>
      </c>
    </row>
    <row r="36" spans="1:4" x14ac:dyDescent="0.25">
      <c r="A36" s="74">
        <v>6.05</v>
      </c>
      <c r="B36" s="75" t="s">
        <v>79</v>
      </c>
      <c r="C36" s="76" t="str">
        <f>'WRA Worksheet'!C36</f>
        <v>n</v>
      </c>
      <c r="D36" s="82">
        <f>'WRA Worksheet'!D36</f>
        <v>0</v>
      </c>
    </row>
    <row r="37" spans="1:4" x14ac:dyDescent="0.25">
      <c r="A37" s="74">
        <v>6.06</v>
      </c>
      <c r="B37" s="75" t="s">
        <v>81</v>
      </c>
      <c r="C37" s="76" t="str">
        <f>'WRA Worksheet'!C37</f>
        <v>y</v>
      </c>
      <c r="D37" s="82">
        <f>'WRA Worksheet'!D37</f>
        <v>1</v>
      </c>
    </row>
    <row r="38" spans="1:4" x14ac:dyDescent="0.25">
      <c r="A38" s="74">
        <v>6.07</v>
      </c>
      <c r="B38" s="75" t="s">
        <v>83</v>
      </c>
      <c r="C38" s="81" t="str">
        <f>'WRA Worksheet'!C38</f>
        <v>?</v>
      </c>
      <c r="D38" s="82" t="str">
        <f>'WRA Worksheet'!D38</f>
        <v xml:space="preserve"> </v>
      </c>
    </row>
    <row r="39" spans="1:4" ht="30" x14ac:dyDescent="0.25">
      <c r="A39" s="74">
        <v>7.01</v>
      </c>
      <c r="B39" s="75" t="s">
        <v>86</v>
      </c>
      <c r="C39" s="76" t="str">
        <f>'WRA Worksheet'!C39</f>
        <v>y</v>
      </c>
      <c r="D39" s="82">
        <f>'WRA Worksheet'!D39</f>
        <v>1</v>
      </c>
    </row>
    <row r="40" spans="1:4" x14ac:dyDescent="0.25">
      <c r="A40" s="74">
        <v>7.02</v>
      </c>
      <c r="B40" s="75" t="s">
        <v>89</v>
      </c>
      <c r="C40" s="76" t="str">
        <f>'WRA Worksheet'!C40</f>
        <v>y</v>
      </c>
      <c r="D40" s="82">
        <f>'WRA Worksheet'!D40</f>
        <v>1</v>
      </c>
    </row>
    <row r="41" spans="1:4" x14ac:dyDescent="0.25">
      <c r="A41" s="74">
        <v>7.03</v>
      </c>
      <c r="B41" s="75" t="s">
        <v>92</v>
      </c>
      <c r="C41" s="76" t="str">
        <f>'WRA Worksheet'!C41</f>
        <v>?</v>
      </c>
      <c r="D41" s="82" t="str">
        <f>'WRA Worksheet'!D41</f>
        <v xml:space="preserve"> </v>
      </c>
    </row>
    <row r="42" spans="1:4" x14ac:dyDescent="0.25">
      <c r="A42" s="74">
        <v>7.04</v>
      </c>
      <c r="B42" s="75" t="s">
        <v>95</v>
      </c>
      <c r="C42" s="76" t="str">
        <f>'WRA Worksheet'!C42</f>
        <v>n</v>
      </c>
      <c r="D42" s="82">
        <f>'WRA Worksheet'!D42</f>
        <v>-1</v>
      </c>
    </row>
    <row r="43" spans="1:4" x14ac:dyDescent="0.25">
      <c r="A43" s="74">
        <v>7.05</v>
      </c>
      <c r="B43" s="75" t="s">
        <v>96</v>
      </c>
      <c r="C43" s="76" t="str">
        <f>'WRA Worksheet'!C43</f>
        <v>n</v>
      </c>
      <c r="D43" s="82">
        <f>'WRA Worksheet'!D43</f>
        <v>-1</v>
      </c>
    </row>
    <row r="44" spans="1:4" x14ac:dyDescent="0.25">
      <c r="A44" s="74">
        <v>7.06</v>
      </c>
      <c r="B44" s="75" t="s">
        <v>97</v>
      </c>
      <c r="C44" s="76" t="str">
        <f>'WRA Worksheet'!C44</f>
        <v>y</v>
      </c>
      <c r="D44" s="82">
        <f>'WRA Worksheet'!D44</f>
        <v>1</v>
      </c>
    </row>
    <row r="45" spans="1:4" x14ac:dyDescent="0.25">
      <c r="A45" s="74">
        <v>7.07</v>
      </c>
      <c r="B45" s="75" t="s">
        <v>100</v>
      </c>
      <c r="C45" s="76" t="str">
        <f>'WRA Worksheet'!C45</f>
        <v>n</v>
      </c>
      <c r="D45" s="82">
        <f>'WRA Worksheet'!D45</f>
        <v>-1</v>
      </c>
    </row>
    <row r="46" spans="1:4" x14ac:dyDescent="0.25">
      <c r="A46" s="74">
        <v>7.08</v>
      </c>
      <c r="B46" s="75" t="s">
        <v>101</v>
      </c>
      <c r="C46" s="76" t="str">
        <f>'WRA Worksheet'!C46</f>
        <v>n</v>
      </c>
      <c r="D46" s="82">
        <f>'WRA Worksheet'!D46</f>
        <v>-1</v>
      </c>
    </row>
    <row r="47" spans="1:4" x14ac:dyDescent="0.25">
      <c r="A47" s="74">
        <v>8.01</v>
      </c>
      <c r="B47" s="75" t="s">
        <v>102</v>
      </c>
      <c r="C47" s="76" t="str">
        <f>'WRA Worksheet'!C47</f>
        <v>?</v>
      </c>
      <c r="D47" s="82" t="str">
        <f>'WRA Worksheet'!D47</f>
        <v xml:space="preserve"> </v>
      </c>
    </row>
    <row r="48" spans="1:4" x14ac:dyDescent="0.25">
      <c r="A48" s="74">
        <v>8.02</v>
      </c>
      <c r="B48" s="75" t="s">
        <v>105</v>
      </c>
      <c r="C48" s="76">
        <f>'WRA Worksheet'!C48</f>
        <v>0</v>
      </c>
      <c r="D48" s="82" t="str">
        <f>'WRA Worksheet'!D48</f>
        <v xml:space="preserve"> </v>
      </c>
    </row>
    <row r="49" spans="1:4" x14ac:dyDescent="0.25">
      <c r="A49" s="74">
        <v>8.0299999999999994</v>
      </c>
      <c r="B49" s="75" t="s">
        <v>108</v>
      </c>
      <c r="C49" s="76" t="str">
        <f>'WRA Worksheet'!C49</f>
        <v>?</v>
      </c>
      <c r="D49" s="82" t="str">
        <f>'WRA Worksheet'!D49</f>
        <v xml:space="preserve"> </v>
      </c>
    </row>
    <row r="50" spans="1:4" x14ac:dyDescent="0.25">
      <c r="A50" s="74">
        <v>8.0399999999999991</v>
      </c>
      <c r="B50" s="75" t="s">
        <v>110</v>
      </c>
      <c r="C50" s="76" t="str">
        <f>'WRA Worksheet'!C50</f>
        <v>y</v>
      </c>
      <c r="D50" s="82">
        <f>'WRA Worksheet'!D50</f>
        <v>1</v>
      </c>
    </row>
    <row r="51" spans="1:4" x14ac:dyDescent="0.25">
      <c r="A51" s="74">
        <v>8.0500000000000007</v>
      </c>
      <c r="B51" s="67" t="s">
        <v>113</v>
      </c>
      <c r="C51" s="76" t="str">
        <f>'WRA Worksheet'!C51</f>
        <v>n</v>
      </c>
      <c r="D51" s="82">
        <f>'WRA Worksheet'!D51</f>
        <v>1</v>
      </c>
    </row>
    <row r="52" spans="1:4" x14ac:dyDescent="0.25">
      <c r="A52" s="31"/>
      <c r="B52" s="32" t="s">
        <v>114</v>
      </c>
      <c r="C52" s="152">
        <f>'WRA Worksheet'!D53</f>
        <v>19</v>
      </c>
      <c r="D52" s="152"/>
    </row>
    <row r="53" spans="1:4" x14ac:dyDescent="0.25">
      <c r="A53" s="33"/>
      <c r="B53" s="34" t="s">
        <v>165</v>
      </c>
      <c r="C53" s="152" t="str" cm="1">
        <f t="array" ref="C53">IF(OR('WRA Worksheet'!C71:D71="yes", 'WRA Worksheet'!C72:D72="yes", 'WRA Worksheet'!C73:D73="yes"),"yes","no")</f>
        <v>no</v>
      </c>
      <c r="D53" s="152"/>
    </row>
    <row r="54" spans="1:4" x14ac:dyDescent="0.25">
      <c r="A54" s="33"/>
      <c r="B54" s="34" t="s">
        <v>166</v>
      </c>
      <c r="C54" s="152" t="str">
        <f>IF(C53="yes", 'WRA Worksheet'!C74, 'WRA Worksheet'!D54)</f>
        <v>reject</v>
      </c>
      <c r="D54" s="152"/>
    </row>
    <row r="55" spans="1:4" ht="15.75" thickBot="1" x14ac:dyDescent="0.3">
      <c r="A55" s="35"/>
      <c r="B55" s="36"/>
      <c r="C55" s="36"/>
      <c r="D55" s="37"/>
    </row>
    <row r="56" spans="1:4" ht="39.75" thickTop="1" x14ac:dyDescent="0.25">
      <c r="A56" s="38" t="s">
        <v>167</v>
      </c>
      <c r="B56" s="39" t="s">
        <v>168</v>
      </c>
      <c r="C56" s="40" t="s">
        <v>118</v>
      </c>
      <c r="D56" s="37"/>
    </row>
    <row r="57" spans="1:4" x14ac:dyDescent="0.25">
      <c r="A57" s="41" t="s">
        <v>119</v>
      </c>
      <c r="B57" s="42">
        <f>'WRA Worksheet'!C57</f>
        <v>11</v>
      </c>
      <c r="C57" s="43" t="str">
        <f>IF(B57&gt;=2,"yes","no")</f>
        <v>yes</v>
      </c>
      <c r="D57" s="37"/>
    </row>
    <row r="58" spans="1:4" x14ac:dyDescent="0.25">
      <c r="A58" s="41" t="s">
        <v>120</v>
      </c>
      <c r="B58" s="42">
        <f>'WRA Worksheet'!C58</f>
        <v>12</v>
      </c>
      <c r="C58" s="43" t="str">
        <f>IF(B58&gt;=2,"yes","no")</f>
        <v>yes</v>
      </c>
      <c r="D58" s="37"/>
    </row>
    <row r="59" spans="1:4" x14ac:dyDescent="0.25">
      <c r="A59" s="41" t="s">
        <v>121</v>
      </c>
      <c r="B59" s="42">
        <f>'WRA Worksheet'!C59</f>
        <v>19</v>
      </c>
      <c r="C59" s="43" t="str">
        <f>IF(B59&gt;=6,"yes","no")</f>
        <v>yes</v>
      </c>
      <c r="D59" s="37"/>
    </row>
    <row r="60" spans="1:4" ht="15.75" thickBot="1" x14ac:dyDescent="0.3">
      <c r="A60" s="44" t="s">
        <v>122</v>
      </c>
      <c r="B60" s="45">
        <f>'WRA Worksheet'!C60</f>
        <v>42</v>
      </c>
      <c r="C60" s="46" t="str">
        <f>IF(C57="no","no",IF(C58="no","no",IF(C59="no","no","yes")))</f>
        <v>yes</v>
      </c>
      <c r="D60" s="37"/>
    </row>
    <row r="61" spans="1:4" ht="15.75" thickTop="1" x14ac:dyDescent="0.25"/>
  </sheetData>
  <sheetProtection algorithmName="SHA-512" hashValue="OUPP6/JLKjaOreRnDsqedMxLQ5QXL0Eh+Rws3VhK3vD2Gyo6l4J6cu1Tr5oxN4ZoMbAZCxsipXqLcQtAUkOMKQ==" saltValue="SQl0PRYgekQzaekw/tcing==" spinCount="100000" sheet="1" objects="1" scenarios="1" formatCells="0"/>
  <mergeCells count="5">
    <mergeCell ref="A2:B2"/>
    <mergeCell ref="C52:D52"/>
    <mergeCell ref="C53:D53"/>
    <mergeCell ref="C54:D54"/>
    <mergeCell ref="A1: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A353-381C-4CCD-9F7C-6233287381B8}">
  <sheetPr>
    <tabColor theme="0"/>
  </sheetPr>
  <dimension ref="A1:C50"/>
  <sheetViews>
    <sheetView workbookViewId="0">
      <selection activeCell="C15" sqref="C15"/>
    </sheetView>
  </sheetViews>
  <sheetFormatPr defaultColWidth="8.85546875" defaultRowHeight="15" x14ac:dyDescent="0.25"/>
  <cols>
    <col min="1" max="1" width="5" customWidth="1"/>
    <col min="2" max="3" width="49.42578125" customWidth="1"/>
  </cols>
  <sheetData>
    <row r="1" spans="1:3" ht="28.5" customHeight="1" x14ac:dyDescent="0.25">
      <c r="A1" s="47"/>
      <c r="B1" s="48" t="s">
        <v>8</v>
      </c>
      <c r="C1" s="49" t="s">
        <v>9</v>
      </c>
    </row>
    <row r="2" spans="1:3" x14ac:dyDescent="0.25">
      <c r="A2" s="30">
        <v>1.01</v>
      </c>
      <c r="B2" s="50" t="str" cm="1">
        <f t="array" ref="B2:C50">'WRA Worksheet'!F3:G51</f>
        <v>No evidence of cultivation to reduce weediness.</v>
      </c>
      <c r="C2" s="51">
        <v>0</v>
      </c>
    </row>
    <row r="3" spans="1:3" x14ac:dyDescent="0.25">
      <c r="A3" s="30">
        <v>1.02</v>
      </c>
      <c r="B3" s="50">
        <v>0</v>
      </c>
      <c r="C3" s="50">
        <v>0</v>
      </c>
    </row>
    <row r="4" spans="1:3" x14ac:dyDescent="0.25">
      <c r="A4" s="30">
        <v>1.03</v>
      </c>
      <c r="B4" s="50">
        <v>0</v>
      </c>
      <c r="C4" s="50">
        <v>0</v>
      </c>
    </row>
    <row r="5" spans="1:3" x14ac:dyDescent="0.25">
      <c r="A5" s="30">
        <v>2.0099999999999998</v>
      </c>
      <c r="B5" s="52" t="str">
        <v>High climate suitability for all of Florida.</v>
      </c>
      <c r="C5" s="53" t="str">
        <v>See attached climate suitability map.</v>
      </c>
    </row>
    <row r="6" spans="1:3" x14ac:dyDescent="0.25">
      <c r="A6" s="30">
        <v>2.02</v>
      </c>
      <c r="B6" s="53" t="str">
        <v>See attached climate suitability map.</v>
      </c>
      <c r="C6" s="54">
        <v>0</v>
      </c>
    </row>
    <row r="7" spans="1:3" x14ac:dyDescent="0.25">
      <c r="A7" s="30">
        <v>2.0299999999999998</v>
      </c>
      <c r="B7" s="54" t="str">
        <v>See attached climate suitability map.</v>
      </c>
      <c r="C7" s="53">
        <v>0</v>
      </c>
    </row>
    <row r="8" spans="1:3" ht="90" x14ac:dyDescent="0.25">
      <c r="A8" s="30">
        <v>2.04</v>
      </c>
      <c r="B8" s="51" t="str">
        <v>"Lives in areas that receive from 1500 to greater than 4000mm of mean annual rainfall" (1) "These areas are typically tropical rainforests with average annual rainfall
approximately 60 to over 80 in (150 to over 200 cm)" (2)</v>
      </c>
      <c r="C8" s="51" t="str">
        <v>(1) https://www.iucngisd.org/gisd/speciesname/Piper+aduncum (2) http://www.hear.org/PIER/pdf/pohreports/piper_aduncum.pdf</v>
      </c>
    </row>
    <row r="9" spans="1:3" ht="75" x14ac:dyDescent="0.25">
      <c r="A9" s="30">
        <v>2.0499999999999998</v>
      </c>
      <c r="B9" s="51" t="str">
        <v>Taxon has been introduced to Hawaii, Papua New Guinea, Fiji, Florida, etc (1)(2)(3)</v>
      </c>
      <c r="C9" s="53" t="str">
        <v>(1) https://www.gbif.org/species/3086337 (2) http://www.hear.org/PIER/pdf/pohreports/piper_aduncum.pdf (3) https://powo.science.kew.org/taxon/urn:lsid:ipni.org:names:680296-1</v>
      </c>
    </row>
    <row r="10" spans="1:3" ht="75" x14ac:dyDescent="0.25">
      <c r="A10" s="30">
        <v>3.01</v>
      </c>
      <c r="B10" s="51" t="str">
        <v>Taxon has been introduced to and naturalized in many regions including Hawaii, Papua New Guinea, Fiji, Florida, etc (1)(2)(3)</v>
      </c>
      <c r="C10" s="53" t="str">
        <v>(1) https://www.gbif.org/species/3086337 (2) http://www.hear.org/PIER/pdf/pohreports/piper_aduncum.pdf (3) https://powo.science.kew.org/taxon/urn:lsid:ipni.org:names:680296-1</v>
      </c>
    </row>
    <row r="11" spans="1:3" ht="75" x14ac:dyDescent="0.25">
      <c r="A11" s="30">
        <v>3.02</v>
      </c>
      <c r="B11" s="50" t="str">
        <v>Taxon is noted to grow best in disturbed areas such as roadsides, gardens, and pastures; requiring full sun and bare earth. (1)(2)</v>
      </c>
      <c r="C11" s="53" t="str">
        <v>(1) http://www.hear.org/PIER/pdf/pohreports/piper_aduncum.pdf (2) https://www.iucngisd.org/gisd/speciesname/Piper+aduncum</v>
      </c>
    </row>
    <row r="12" spans="1:3" ht="75" x14ac:dyDescent="0.25">
      <c r="A12" s="30">
        <v>3.03</v>
      </c>
      <c r="B12" s="50" t="str">
        <v>"it [P. aduncum] can become mixed with the kava (Piper methysticum) crop during harvesting, lowering its quality" (1) Taxon competes with crops causing economic harm. (2)</v>
      </c>
      <c r="C12" s="53" t="str">
        <v>(1) https://www.iucngisd.org/gisd/speciesname/Piper+aduncum (2)  https://www.cabidigitallibrary.org/doi/full/10.1079/cabicompendium.41354</v>
      </c>
    </row>
    <row r="13" spans="1:3" ht="75" x14ac:dyDescent="0.25">
      <c r="A13" s="30">
        <v>3.04</v>
      </c>
      <c r="B13" s="51" t="str">
        <v>Taxon is noted to compete with and choke out surrounding native vegetation. (1)(2)</v>
      </c>
      <c r="C13" s="53" t="str">
        <v>(1) https://tropical.theferns.info/viewtropical.php?id=Piper+aduncum (2) http://www.hear.org/PIER/pdf/pohreports/piper_aduncum.pdf</v>
      </c>
    </row>
    <row r="14" spans="1:3" ht="120" x14ac:dyDescent="0.25">
      <c r="A14" s="30">
        <v>3.05</v>
      </c>
      <c r="B14" s="51" t="str">
        <v>P. aduncum is a member of genus piper, which is made up of thousands of species many of which are noted to be aggressive and weedy. (1)(2)</v>
      </c>
      <c r="C14" s="53" t="str">
        <v xml:space="preserve">(1) http://www.hear.org/PIER/pdf/pohreports/piper_aduncum.pdf (2) 
  Padmanaba, M., &amp; Sheil, D. (2014). Spread of the invasive alien species Piper Aduncum via logging roads in Borneo. Tropical Conservation Science, 7(1), 35–44. https://doi.org/10.1177/194008291400700108
</v>
      </c>
    </row>
    <row r="15" spans="1:3" x14ac:dyDescent="0.25">
      <c r="A15" s="30">
        <v>4.01</v>
      </c>
      <c r="B15" s="50" t="str">
        <v>No description of these features.</v>
      </c>
      <c r="C15" s="55">
        <v>0</v>
      </c>
    </row>
    <row r="16" spans="1:3" x14ac:dyDescent="0.25">
      <c r="A16" s="30">
        <v>4.0199999999999996</v>
      </c>
      <c r="B16" s="51" t="str">
        <v>No evidence of allelopathic characteristics.</v>
      </c>
      <c r="C16" s="51">
        <v>0</v>
      </c>
    </row>
    <row r="17" spans="1:3" x14ac:dyDescent="0.25">
      <c r="A17" s="30">
        <v>4.03</v>
      </c>
      <c r="B17" s="51" t="str">
        <v>No evidence.</v>
      </c>
      <c r="C17" s="51">
        <v>0</v>
      </c>
    </row>
    <row r="18" spans="1:3" x14ac:dyDescent="0.25">
      <c r="A18" s="30">
        <v>4.04</v>
      </c>
      <c r="B18" s="51" t="str">
        <v>No evidence.</v>
      </c>
      <c r="C18" s="51">
        <v>0</v>
      </c>
    </row>
    <row r="19" spans="1:3" x14ac:dyDescent="0.25">
      <c r="A19" s="30">
        <v>4.05</v>
      </c>
      <c r="B19" s="51" t="str">
        <v>No evidence.</v>
      </c>
      <c r="C19" s="51">
        <v>0</v>
      </c>
    </row>
    <row r="20" spans="1:3" ht="150" x14ac:dyDescent="0.25">
      <c r="A20" s="30">
        <v>4.0599999999999996</v>
      </c>
      <c r="B20" s="51" t="str">
        <v>Taxon has been found to infect crops of other Piper species with a known agricultural pathogen. (1)</v>
      </c>
      <c r="C20" s="51" t="str">
        <v xml:space="preserve">(1) Albuquerque, F. C. de; Hamada, M.; Duarte, M. L. R. (1997) Piper aduncum , new host of Nectria haematococca f.sp. piperis within wild Piper population in the Brazilian Amazon.[FT: Piper aduncum espécie nativa da Amazônia Brasileira, hospedeira de Nectria haematococca f.sp. piperis .] Fitopatologia Brasileira, 1997, Vol.22, No.2, pp.201-204, 6 ref.
</v>
      </c>
    </row>
    <row r="21" spans="1:3" x14ac:dyDescent="0.25">
      <c r="A21" s="30">
        <v>4.07</v>
      </c>
      <c r="B21" s="51" t="str">
        <v>No evidence.</v>
      </c>
      <c r="C21" s="51">
        <v>0</v>
      </c>
    </row>
    <row r="22" spans="1:3" x14ac:dyDescent="0.25">
      <c r="A22" s="30">
        <v>4.08</v>
      </c>
      <c r="B22" s="51" t="str">
        <v>No evidence.</v>
      </c>
      <c r="C22" s="53">
        <v>0</v>
      </c>
    </row>
    <row r="23" spans="1:3" ht="120" x14ac:dyDescent="0.25">
      <c r="A23" s="30">
        <v>4.09</v>
      </c>
      <c r="B23" s="51" t="str">
        <v>Taxon is noted to be shade intolerant. (1)(2)</v>
      </c>
      <c r="C23" s="51" t="str">
        <v xml:space="preserve">(1) https://www.iucngisd.org/gisd/speciesname/Piper+aduncum (2) 
  Padmanaba, M., &amp; Sheil, D. (2014). Spread of the invasive alien species Piper Aduncum via logging roads in Borneo. Tropical Conservation Science, 7(1), 35–44. https://doi.org/10.1177/194008291400700108
</v>
      </c>
    </row>
    <row r="24" spans="1:3" ht="105" x14ac:dyDescent="0.25">
      <c r="A24" s="30">
        <v>4.0999999999999996</v>
      </c>
      <c r="B24" s="51" t="str">
        <v xml:space="preserve">Taxon tolerates most soil types, but prefers wet/inundated soils. (1)(2)(3) "It colonizes most soil types, apart from excessively well-drained soils (where it only grows at the upper end of the rainfall range); dry soils; and salty soils" (1) </v>
      </c>
      <c r="C24" s="51" t="str">
        <v>(1) https://tropical.theferns.info/viewtropical.php?id=Piper+aduncum (2)  https://www.iucngisd.org/gisd/speciesname/Piper+aduncum (3) https://www.cabidigitallibrary.org/doi/full/10.1079/cabicompendium.41354</v>
      </c>
    </row>
    <row r="25" spans="1:3" ht="30" x14ac:dyDescent="0.25">
      <c r="A25" s="30">
        <v>4.1100000000000003</v>
      </c>
      <c r="B25" s="51" t="str">
        <v>Taxon is a shrub that does not exhibit smothering characteristics.</v>
      </c>
      <c r="C25" s="51">
        <v>0</v>
      </c>
    </row>
    <row r="26" spans="1:3" ht="75" x14ac:dyDescent="0.25">
      <c r="A26" s="30">
        <v>4.12</v>
      </c>
      <c r="B26" s="51" t="str">
        <v>"It is an invader of disturbed areas, where it is able to form thickets and spreads by sprouts and suckers." (1) Taxon forms dense thickets (2)</v>
      </c>
      <c r="C26" s="51" t="str">
        <v>(1) https://www.iucngisd.org/gisd/speciesname/Piper+aduncum (2) http://www.hear.org/PIER/pdf/pohreports/piper_aduncum.pdf</v>
      </c>
    </row>
    <row r="27" spans="1:3" x14ac:dyDescent="0.25">
      <c r="A27" s="30">
        <v>5.01</v>
      </c>
      <c r="B27" s="51" t="str">
        <v>Taxon prefers wet soils but is not an aquatic plant.</v>
      </c>
      <c r="C27" s="51">
        <v>0</v>
      </c>
    </row>
    <row r="28" spans="1:3" x14ac:dyDescent="0.25">
      <c r="A28" s="30">
        <v>5.0199999999999996</v>
      </c>
      <c r="B28" s="51" t="str">
        <v>Not of the Poaceae family</v>
      </c>
      <c r="C28" s="51">
        <v>0</v>
      </c>
    </row>
    <row r="29" spans="1:3" ht="45" x14ac:dyDescent="0.25">
      <c r="A29" s="30">
        <v>5.03</v>
      </c>
      <c r="B29" s="51" t="str">
        <v>Is a woody plant but no evidence of nitrogen fixation. (1)</v>
      </c>
      <c r="C29" s="51" t="str">
        <v>(1) https://www.cabidigitallibrary.org/doi/full/10.1079/cabicompendium.41354</v>
      </c>
    </row>
    <row r="30" spans="1:3" ht="30" x14ac:dyDescent="0.25">
      <c r="A30" s="30">
        <v>5.04</v>
      </c>
      <c r="B30" s="51" t="str">
        <v xml:space="preserve"> Rhizomes present, but no evidence of other underground storage tissues</v>
      </c>
      <c r="C30" s="51">
        <v>0</v>
      </c>
    </row>
    <row r="31" spans="1:3" x14ac:dyDescent="0.25">
      <c r="A31" s="30">
        <v>6.01</v>
      </c>
      <c r="B31" s="50" t="str">
        <v>No evidence.</v>
      </c>
      <c r="C31" s="51">
        <v>0</v>
      </c>
    </row>
    <row r="32" spans="1:3" ht="105" x14ac:dyDescent="0.25">
      <c r="A32" s="30">
        <v>6.02</v>
      </c>
      <c r="B32" s="51" t="str">
        <v>"even small saplings often bore fertile structures." (1) Taxon produces viable seeds. (1)(2)</v>
      </c>
      <c r="C32" s="51" t="str">
        <v>(1) Padmanaba, M., &amp; Sheil, D. (2014). Spread of the invasive alien species Piper Aduncum via logging roads in Borneo. Tropical Conservation Science, 7(1), 35–44. https://doi.org/10.1177/194008291400700108 (2) http://www.hear.org/PIER/pdf/pohreports/piper_aduncum.pdf</v>
      </c>
    </row>
    <row r="33" spans="1:3" x14ac:dyDescent="0.25">
      <c r="A33" s="30">
        <v>6.03</v>
      </c>
      <c r="B33" s="51" t="str">
        <v>No evidence.</v>
      </c>
      <c r="C33" s="51">
        <v>0</v>
      </c>
    </row>
    <row r="34" spans="1:3" x14ac:dyDescent="0.25">
      <c r="A34" s="30">
        <v>6.04</v>
      </c>
      <c r="B34" s="51" t="str">
        <v>No evidence.</v>
      </c>
      <c r="C34" s="51">
        <v>0</v>
      </c>
    </row>
    <row r="35" spans="1:3" x14ac:dyDescent="0.25">
      <c r="A35" s="30">
        <v>6.05</v>
      </c>
      <c r="B35" s="51" t="str">
        <v>No evidence of specialist pollinators.</v>
      </c>
      <c r="C35" s="51">
        <v>0</v>
      </c>
    </row>
    <row r="36" spans="1:3" ht="75" x14ac:dyDescent="0.25">
      <c r="A36" s="30">
        <v>6.06</v>
      </c>
      <c r="B36" s="51" t="str">
        <v>"It is an invader of disturbed areas, where it is able to form thickets and spreads by sprouts and suckers." (1) "forms a thicket through vegetative spread and is difficult to control as every piece needs to be removed" (2)</v>
      </c>
      <c r="C36" s="51" t="str">
        <v>(1) https://www.iucngisd.org/gisd/speciesname/Piper+aduncum (2) http://www.hear.org/PIER/pdf/pohreports/piper_aduncum.pdf</v>
      </c>
    </row>
    <row r="37" spans="1:3" ht="45" x14ac:dyDescent="0.25">
      <c r="A37" s="30">
        <v>6.07</v>
      </c>
      <c r="B37" s="51" t="str">
        <v>Fruits are mature at 70-80 days after flowering and plant reaches maturity at around 5 years, but more information is needed. (1)</v>
      </c>
      <c r="C37" s="51" t="str">
        <v>(1) https://www.cabidigitallibrary.org/doi/full/10.1079/cabicompendium.41354</v>
      </c>
    </row>
    <row r="38" spans="1:3" ht="105" x14ac:dyDescent="0.25">
      <c r="A38" s="30">
        <v>7.01</v>
      </c>
      <c r="B38" s="51" t="str">
        <v>"Thought to have been introduced to Fiji in packing materials at Suva port" (1) P. aduncum is commonly dispersed by machinery, such as logging equipment (2)</v>
      </c>
      <c r="C38" s="51" t="str">
        <v>(1) https://www.iucngisd.org/gisd/speciesname/Piper+aduncum (2) Padmanaba, M., &amp; Sheil, D. (2014). Spread of the invasive alien species Piper Aduncum via logging roads in Borneo. Tropical Conservation Science, 7(1), 35–44. https://doi.org/10.1177/194008291400700108</v>
      </c>
    </row>
    <row r="39" spans="1:3" ht="75" x14ac:dyDescent="0.25">
      <c r="A39" s="30">
        <v>7.02</v>
      </c>
      <c r="B39" s="51" t="str">
        <v>Taxon introduced to new regions as an ornamental or to prevent soil erosion. (1)(2)</v>
      </c>
      <c r="C39" s="51" t="str">
        <v>(1) https://www.iucngisd.org/gisd/speciesname/Piper+aduncum (2) https://tropical.theferns.info/viewtropical.php?id=Piper+aduncum</v>
      </c>
    </row>
    <row r="40" spans="1:3" ht="75" x14ac:dyDescent="0.25">
      <c r="A40" s="30">
        <v>7.03</v>
      </c>
      <c r="B40" s="50" t="str">
        <v>In some regions taxon is cultivated for food and medicinal use noted to be gathered from the surrounding landscape and sold locally. (1)(2)</v>
      </c>
      <c r="C40" s="51" t="str">
        <v>(1) https://tropical.theferns.info/viewtropical.php?id=Piper+aduncum (2) https://www.cabidigitallibrary.org/doi/full/10.1079/cabicompendium.41354</v>
      </c>
    </row>
    <row r="41" spans="1:3" x14ac:dyDescent="0.25">
      <c r="A41" s="30">
        <v>7.04</v>
      </c>
      <c r="B41" s="51" t="str">
        <v>No evidence.</v>
      </c>
      <c r="C41" s="51">
        <v>0</v>
      </c>
    </row>
    <row r="42" spans="1:3" x14ac:dyDescent="0.25">
      <c r="A42" s="30">
        <v>7.05</v>
      </c>
      <c r="B42" s="51" t="str">
        <v>No evidence.</v>
      </c>
      <c r="C42" s="51">
        <v>0</v>
      </c>
    </row>
    <row r="43" spans="1:3" ht="60" x14ac:dyDescent="0.25">
      <c r="A43" s="30">
        <v>7.06</v>
      </c>
      <c r="B43" s="51" t="str">
        <v xml:space="preserve">"In Fiji, the primary dispersal agent of P. aduncum seeds are redvented bulbuls (Pycnonotus cafer) and they are said to advance together on newly disturbed roads" (1) </v>
      </c>
      <c r="C43" s="51" t="str">
        <v>(1) http://www.hear.org/PIER/pdf/pohreports/piper_aduncum.pdf</v>
      </c>
    </row>
    <row r="44" spans="1:3" x14ac:dyDescent="0.25">
      <c r="A44" s="30">
        <v>7.07</v>
      </c>
      <c r="B44" s="51" t="str">
        <v>No evidence.</v>
      </c>
      <c r="C44" s="51">
        <v>0</v>
      </c>
    </row>
    <row r="45" spans="1:3" x14ac:dyDescent="0.25">
      <c r="A45" s="30">
        <v>7.08</v>
      </c>
      <c r="B45" s="50" t="str">
        <v>No evidence.</v>
      </c>
      <c r="C45" s="51">
        <v>0</v>
      </c>
    </row>
    <row r="46" spans="1:3" ht="75" x14ac:dyDescent="0.25">
      <c r="A46" s="30">
        <v>8.01</v>
      </c>
      <c r="B46" s="50" t="str">
        <v>Taxon is noted to produce a large number of propagules annually but density estimates are unknown. (1)</v>
      </c>
      <c r="C46" s="51" t="str">
        <v>(1) https://www.cabidigitallibrary.org/doi/full/10.1079/cabicompendium.41354 (2) https://www.iucngisd.org/gisd/speciesname/Piper+aduncum</v>
      </c>
    </row>
    <row r="47" spans="1:3" ht="105" x14ac:dyDescent="0.25">
      <c r="A47" s="30">
        <v>8.02</v>
      </c>
      <c r="B47" s="51" t="str">
        <v>Taxon is noted to be dominant in the seed bank with majority of seeds remaining viable for extended periods.</v>
      </c>
      <c r="C47" s="51" t="str">
        <v xml:space="preserve">(1) 
  Rogers, H. M., &amp; Hartemink, A. E. (2000). Soil seed bank and growth rates of an invasive species, Piper aduncum, in the lowlands of Papua New Guinea. Journal of Tropical Ecology, 16(2), 243–251. https://doi.org/10.1017/S0266467400001383
</v>
      </c>
    </row>
    <row r="48" spans="1:3" ht="45" x14ac:dyDescent="0.25">
      <c r="A48" s="30">
        <v>8.0299999999999994</v>
      </c>
      <c r="B48" s="51" t="str">
        <v>Taxon is commonly controlled with mechanical methods, but more information on the efficacy of herbicides is needed. (1)</v>
      </c>
      <c r="C48" s="51" t="str">
        <v>(1) http://www.hear.org/PIER/pdf/pohreports/piper_aduncum.pdf</v>
      </c>
    </row>
    <row r="49" spans="1:3" ht="105" x14ac:dyDescent="0.25">
      <c r="A49" s="30">
        <v>8.0399999999999991</v>
      </c>
      <c r="B49" s="51" t="str">
        <v>Taxon grows vegetatively and benefits from cutting to spread plants locally. (1)(2)(3)</v>
      </c>
      <c r="C49" s="51" t="str">
        <v>(1) https://tropical.theferns.info/viewtropical.php?id=Piper+aduncum (2) https://www.cabidigitallibrary.org/doi/full/10.1079/cabicompendium.41354 (3) https://www.iucngisd.org/gisd/speciesname/Piper+aduncum</v>
      </c>
    </row>
    <row r="50" spans="1:3" x14ac:dyDescent="0.25">
      <c r="A50" s="30">
        <v>8.0500000000000007</v>
      </c>
      <c r="B50" s="50" t="str">
        <v>No evidence.</v>
      </c>
      <c r="C50" s="51">
        <v>0</v>
      </c>
    </row>
  </sheetData>
  <sheetProtection algorithmName="SHA-512" hashValue="HwVsddSKA36z0HQovLp52AHeyUwXIB3BK9O2Nfeb1wc6CSMAX71mBA8zvBTYMnBwR7SnlERXptCmZRxSLLKyAA==" saltValue="5pGpLizWx2P+VsfdacsGS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21906AFC853A408AD5005C49B5E75E" ma:contentTypeVersion="17" ma:contentTypeDescription="Create a new document." ma:contentTypeScope="" ma:versionID="413b67428e06e4fbe1596370e8681275">
  <xsd:schema xmlns:xsd="http://www.w3.org/2001/XMLSchema" xmlns:xs="http://www.w3.org/2001/XMLSchema" xmlns:p="http://schemas.microsoft.com/office/2006/metadata/properties" xmlns:ns2="f21a967f-c9b6-4417-8b28-12bf5b07c60b" xmlns:ns3="898990d9-3832-423e-b64c-5c8524f186af" targetNamespace="http://schemas.microsoft.com/office/2006/metadata/properties" ma:root="true" ma:fieldsID="c5fcf276c65ab6b33a94e4b45a17df5b" ns2:_="" ns3:_="">
    <xsd:import namespace="f21a967f-c9b6-4417-8b28-12bf5b07c60b"/>
    <xsd:import namespace="898990d9-3832-423e-b64c-5c8524f18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a967f-c9b6-4417-8b28-12bf5b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990d9-3832-423e-b64c-5c8524f186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0cedfe-beb2-4ef3-8cef-26ff56bb9e6e}" ma:internalName="TaxCatchAll" ma:showField="CatchAllData" ma:web="898990d9-3832-423e-b64c-5c8524f186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1a967f-c9b6-4417-8b28-12bf5b07c60b">
      <Terms xmlns="http://schemas.microsoft.com/office/infopath/2007/PartnerControls"/>
    </lcf76f155ced4ddcb4097134ff3c332f>
    <TaxCatchAll xmlns="898990d9-3832-423e-b64c-5c8524f186af" xsi:nil="true"/>
  </documentManagement>
</p:properties>
</file>

<file path=customXml/itemProps1.xml><?xml version="1.0" encoding="utf-8"?>
<ds:datastoreItem xmlns:ds="http://schemas.openxmlformats.org/officeDocument/2006/customXml" ds:itemID="{C72C3439-75BE-411A-8E6B-DF10E44BED25}">
  <ds:schemaRefs>
    <ds:schemaRef ds:uri="http://schemas.microsoft.com/sharepoint/v3/contenttype/forms"/>
  </ds:schemaRefs>
</ds:datastoreItem>
</file>

<file path=customXml/itemProps2.xml><?xml version="1.0" encoding="utf-8"?>
<ds:datastoreItem xmlns:ds="http://schemas.openxmlformats.org/officeDocument/2006/customXml" ds:itemID="{7B65A48C-649D-45ED-9120-D4AD18FA35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1a967f-c9b6-4417-8b28-12bf5b07c60b"/>
    <ds:schemaRef ds:uri="898990d9-3832-423e-b64c-5c8524f186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4714E1-6774-437D-801A-4B8EB940739E}">
  <ds:schemaRefs>
    <ds:schemaRef ds:uri="http://schemas.microsoft.com/office/2006/metadata/properties"/>
    <ds:schemaRef ds:uri="http://schemas.microsoft.com/office/infopath/2007/PartnerControls"/>
    <ds:schemaRef ds:uri="f21a967f-c9b6-4417-8b28-12bf5b07c60b"/>
    <ds:schemaRef ds:uri="898990d9-3832-423e-b64c-5c8524f186a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WRA Worksheet</vt:lpstr>
      <vt:lpstr>LUT</vt:lpstr>
      <vt:lpstr>PDF Template Scoresheet</vt:lpstr>
      <vt:lpstr>PDF Template Refs &amp;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Wanamaker,Christian E</dc:creator>
  <cp:keywords/>
  <dc:description/>
  <cp:lastModifiedBy>Seokmin Kim</cp:lastModifiedBy>
  <cp:revision/>
  <dcterms:created xsi:type="dcterms:W3CDTF">2021-06-15T16:34:22Z</dcterms:created>
  <dcterms:modified xsi:type="dcterms:W3CDTF">2025-07-01T18:12:01Z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0x010100BD21906AFC853A408AD5005C49B5E75E</vt:lpwstr>
  </property>
  <property fmtid="{D5CDD505-2E9C-101B-9397-08002B2CF9AE}" pid="3" name="MediaServiceImageTags">
    <vt:lpwstr/>
  </property>
</Properties>
</file>