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imse\OneDrive\Desktop\UF\Species\Ludwigia grandiflora\Docs\"/>
    </mc:Choice>
  </mc:AlternateContent>
  <xr:revisionPtr revIDLastSave="0" documentId="13_ncr:1_{3728ACD8-E325-438C-8DB9-CD926C24253B}" xr6:coauthVersionLast="47" xr6:coauthVersionMax="47" xr10:uidLastSave="{00000000-0000-0000-0000-000000000000}"/>
  <bookViews>
    <workbookView xWindow="4335" yWindow="2145" windowWidth="21600" windowHeight="1320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<sst xmlns="http://schemas.openxmlformats.org/spreadsheetml/2006/main" count="344" uniqueCount="174">
  <si>
    <t>Species:</t>
  </si>
  <si>
    <t>Ludwigia grandiflora aka water primrose, Jussiaea grandiflora, Jussiaea michauxiana, Jussiaea repens, Jussiaea uruguayensis</t>
  </si>
  <si>
    <r>
      <rPr>
        <sz val="11"/>
        <color rgb="FF000000"/>
        <rFont val="Calibri"/>
        <scheme val="minor"/>
      </rPr>
      <t>Assessment date:</t>
    </r>
    <r>
      <rPr>
        <sz val="11"/>
        <color rgb="FFFF0000"/>
        <rFont val="Calibri"/>
        <scheme val="minor"/>
      </rPr>
      <t xml:space="preserve"> 30 June 2025</t>
    </r>
    <r>
      <rPr>
        <sz val="11"/>
        <color rgb="FF000000"/>
        <rFont val="Calibri"/>
        <scheme val="minor"/>
      </rPr>
      <t xml:space="preserve"> Prepared by Cameron Deelstra</t>
    </r>
  </si>
  <si>
    <t>Number</t>
  </si>
  <si>
    <t>Question</t>
  </si>
  <si>
    <t>Answer</t>
  </si>
  <si>
    <t>Score</t>
  </si>
  <si>
    <t>Uncertainty</t>
  </si>
  <si>
    <t>Evidence</t>
  </si>
  <si>
    <t>Reference</t>
  </si>
  <si>
    <t>Is the species highly domesticated?</t>
  </si>
  <si>
    <t>n</t>
  </si>
  <si>
    <t>No evidence of cultivation to reduce weediness.</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</si>
  <si>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</si>
  <si>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</si>
  <si>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</si>
  <si>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 suitability to north and central zones.</t>
  </si>
  <si>
    <t>see climate suitability map.</t>
  </si>
  <si>
    <t>Quality of climate match data (1-low; 2-intermediate; 3-high)</t>
  </si>
  <si>
    <t>Broad climate suitability (environmental versatility)</t>
  </si>
  <si>
    <t>y</t>
  </si>
  <si>
    <t>Native or naturalized in habitats with periodic inundation
       North Zone: mean annual precipitation 50-70 inches
       Central Zone: mean annual precipitation 40-60 inches
       South Zone: mean annual precipitation 40-60 inches</t>
  </si>
  <si>
    <t>Taxon is suited to tolerate Florida's precipitation regimes.</t>
  </si>
  <si>
    <t>(1) https://www.cabidigitallibrary.org/doi/full/10.1079/cabicompendium.109148</t>
  </si>
  <si>
    <t>Does the species have a history of repeated introductions outside its natural range?</t>
  </si>
  <si>
    <t xml:space="preserve">"records for Pennsylvania, Tennessee, Arizona and the Pacific Coast indicate movement by humans across nature’s geographical barriers (1)." </t>
  </si>
  <si>
    <t>(1) https://plant-directory.ifas.ufl.edu/plant-directory/ludwigia-grandiflora/</t>
  </si>
  <si>
    <t>Naturalized beyond native range</t>
  </si>
  <si>
    <t>Taxon is naturalized in Europe and any occurances of species in contiguous U.S. are introductions (1). "It was naturalized in Florida by 1966 (2)"</t>
  </si>
  <si>
    <t>(1) https://www.fws.gov/sites/default/files/documents/Ecological-Risk-Screening-Summary-Large-flower-Primrose-willow.pdf (2) https://florida.plantatlas.usf.edu/plant/species/135</t>
  </si>
  <si>
    <t>Garden/amenity/disturbance weed</t>
  </si>
  <si>
    <t>(1) https://nas.er.usgs.gov/queries/factsheet.aspx?SpeciesID=253</t>
  </si>
  <si>
    <t>Weed of agriculture</t>
  </si>
  <si>
    <t>No evidence of taxon impacting agricultural practices.</t>
  </si>
  <si>
    <t>Environmental weed</t>
  </si>
  <si>
    <t>Congeneric weed</t>
  </si>
  <si>
    <t>"Ludwigia hexapetala, however, is not native to central Florida where, since 2011, it has usurped native communities in the Kissimmee Chain of Lakes, and probably elsewhere (1)." L. peploides is a cogener that is highly invasive in Europe (2).</t>
  </si>
  <si>
    <t xml:space="preserve">(1) https://plant-directory.ifas.ufl.edu/plant-directory/ludwigia-grandiflora/ (2) 
  Hussner, A., Stiers, I., Verhofstad, M. J. J. M., Bakker, E. S., Grutters, B. M. C., Haury, J., van Valkenburg, J. L. C. H., Brundu, G., Newman, J., Clayton, J. S., Anderson, L. W. J., &amp; Hofstra, D. (2017). Management and control methods of invasive alien freshwater aquatic plants: A review. Aquatic Botany, 136, 112–137. https://doi.org/10.1016/j.aquabot.2016.08.002
</t>
  </si>
  <si>
    <t>Produces spines, thorns or burrs</t>
  </si>
  <si>
    <t>No evidence.</t>
  </si>
  <si>
    <t>Allelopathic</t>
  </si>
  <si>
    <t>Taxon exhibits allelpathic characteristics, altering water chemistry to inhibit growth of surrounding vegetation (1). "Through allelopathic chemicals, L. grandiflora inhibited Lactuca sativa and Nasturtium officinale germination when grown in mixtures (2)."</t>
  </si>
  <si>
    <t>(1) https://www.fws.gov/sites/default/files/documents/2025-04/ecological-risk-screening-summary-large-flower-primrose-willow.pdf (2) https://nas.er.usgs.gov/queries/factsheet.aspx?SpeciesID=253</t>
  </si>
  <si>
    <t>Parasitic</t>
  </si>
  <si>
    <t>Unpalatable to grazing animals</t>
  </si>
  <si>
    <t>"L. grandiflora produces unpalatable compounds that cause herbivores and pathogens to avoid them (1)." Herbivores avoid taxon (2).</t>
  </si>
  <si>
    <t>(1) https://nas.er.usgs.gov/queries/greatlakes/FactSheet.aspx?Species_ID=253&amp;Potential=Y&amp;Type=2&amp;HUCNumber=DGreatLakes (2) https://www.cabidigitallibrary.org/doi/full/10.1079/cabicompendium.109148</t>
  </si>
  <si>
    <t>Toxic to animals</t>
  </si>
  <si>
    <t>?</t>
  </si>
  <si>
    <t>Taxon is not considered toxic but produces allelopathic chemicals that make it unpalatable (1)</t>
  </si>
  <si>
    <t>(1) https://earthone.io/plant/ludwigia%20grandiflora</t>
  </si>
  <si>
    <t>Host for recognised pests and pathogens</t>
  </si>
  <si>
    <t>Causes allergies or is otherwise toxic to humans</t>
  </si>
  <si>
    <t>Creates a fire hazard in natural ecosystems</t>
  </si>
  <si>
    <t>No evidence that taxon increases fire risk but is noted to be moderately fire-tolerant.</t>
  </si>
  <si>
    <t>Is a shade tolerant plant at some stage of its life cycle</t>
  </si>
  <si>
    <t xml:space="preserve">Taxon is shade tolerant. </t>
  </si>
  <si>
    <t>Grows on infertile soils (oligotrophic, limerock, or excessively draining soils).  North &amp; Central Zones: infertile soils; South Zone: shallow limerock or Histisols.</t>
  </si>
  <si>
    <t>Taxon is commonly occurs in low-nutrient soils and prefers inundated soils but tolerates well-drained soil. (1)(2)</t>
  </si>
  <si>
    <t>Climbing or smothering growth habit</t>
  </si>
  <si>
    <t>Taxon does not exhibit climbing or smothering traits, but commonly shades out other submerged vegetation.</t>
  </si>
  <si>
    <t>(1) https://www.fws.gov/sites/default/files/documents/Ecological-Risk-Screening-Summary-Large-flower-Primrose-willow.pdf</t>
  </si>
  <si>
    <t>Forms dense thickets</t>
  </si>
  <si>
    <t>“Ludwigia grandiflora forms dense stands that eliminate native vegetation by forming monospecific stands that competitively exclude other flora." Taxon can impede waterflow and block traffic through waterways. (1) Taxon grows in dense mats (2).</t>
  </si>
  <si>
    <t>(1) https://www.fws.gov/sites/default/files/documents/Ecological-Risk-Screening-Summary-Large-flower-Primrose-willow.pdf (2)  https://nas.er.usgs.gov/queries/greatlakes/FactSheet.aspx?Species_ID=253&amp;Potential=Y&amp;Type=2&amp;HUCNumber=DGreatLakes</t>
  </si>
  <si>
    <t>Aquatic</t>
  </si>
  <si>
    <t>Taxon commonly occurs in inundated soils. (1)(2)</t>
  </si>
  <si>
    <t>(1) 
  Hussner, A., Stiers, I., Verhofstad, M. J. J. M., Bakker, E. S., Grutters, B. M. C., Haury, J., van Valkenburg, J. L. C. H., Brundu, G., Newman, J., Clayton, J. S., Anderson, L. W. J., &amp; Hofstra, D. (2017). Management and control methods of invasive alien freshwater aquatic plants: A review. Aquatic Botany, 136, 112–137. https://doi.org/10.1016/j.aquabot.2016.08.002
(2) https://www.fws.gov/sites/default/files/documents/Ecological-Risk-Screening-Summary-Large-flower-Primrose-willow.pdf</t>
  </si>
  <si>
    <t>Grass</t>
  </si>
  <si>
    <t>Not of the Poaceae family</t>
  </si>
  <si>
    <t>Nitrogen fixing woody plant</t>
  </si>
  <si>
    <t>No evidence of nitrogen fixation and not a woody plant</t>
  </si>
  <si>
    <t>Geophyte</t>
  </si>
  <si>
    <t xml:space="preserve"> Rhizomes present, but no
evidence of other underground storage tissues</t>
  </si>
  <si>
    <t>(1) https://www.fws.gov/sites/default/files/documents/2025-04/ecological-risk-screening-summary-large-flower-primrose-willow.pdf</t>
  </si>
  <si>
    <t>Evidence of substantial reproductive failure in native habitat</t>
  </si>
  <si>
    <t>Produces viable seed</t>
  </si>
  <si>
    <t>Taxon produces seeds. (1)(2)</t>
  </si>
  <si>
    <t>(1) https://www.fws.gov/sites/default/files/documents/2025-04/ecological-risk-screening-summary-large-flower-primrose-willow.pdf  (2) https://nas.er.usgs.gov/queries/factsheet.aspx?SpeciesID=253</t>
  </si>
  <si>
    <t>Hybridizes naturally</t>
  </si>
  <si>
    <t xml:space="preserve">Octoploid hybrids between L. grandiflora and L. hexapetala occur where ranges overlap (1)(2)  </t>
  </si>
  <si>
    <t>(1) https://florida.plantatlas.usf.edu/plant/species/135 (2) https://www.cabidigitallibrary.org/doi/full/10.1079/cabicompendium.109148</t>
  </si>
  <si>
    <t>Self-compatible or apomictic</t>
  </si>
  <si>
    <t>Conflicting information: “self-compatible flowers will self-fertilize; most reproduction is through vegatative fragmentation of stems (1)" and "the species is self-incompatible, but the species has a very high potential seed output (2)."</t>
  </si>
  <si>
    <t>(1) https://www.fws.gov/sites/default/files/documents/2025-04/ecological-risk-screening-summary-large-flower-primrose-willow.pdf (2) https://www.cabidigitallibrary.org/doi/full/10.1079/cabicompendium.109148</t>
  </si>
  <si>
    <t>Requires specialist pollinators</t>
  </si>
  <si>
    <t>Taxon pollinated by generalist pollinators.</t>
  </si>
  <si>
    <t>Reproduction by vegetative propagation</t>
  </si>
  <si>
    <t>Taxon grows rapidly from vegetative cuttings and fragments. (1)(2)</t>
  </si>
  <si>
    <t>Minimum generative time (years)</t>
  </si>
  <si>
    <t>Not enough information found.</t>
  </si>
  <si>
    <t>Propagules likely to be dispersed unintentionally (plants growing in heavily trafficked areas)</t>
  </si>
  <si>
    <t>"The primary introduction pathway is through the ornamental plant trade... Secondarily L. grandiflora is dispersed as stem fragments carried by water and waterfowl (1)." "“L. grandiflora disperses primarily through the movement of plant parts in water (2)"</t>
  </si>
  <si>
    <t>(1) https://nas.er.usgs.gov/queries/factsheet.aspx?SpeciesID=253 (2) https://www.fws.gov/sites/default/files/documents/Ecological-Risk-Screening-Summary-Large-flower-Primrose-willow.pdf</t>
  </si>
  <si>
    <t>Propagules dispersed intentionally by people</t>
  </si>
  <si>
    <t>"The primary introduction pathway is through the ornamental plant trade... Secondarily L. grandiflora is dispersed as stem fragments carried by water and waterfowl (1)."</t>
  </si>
  <si>
    <t>Propagules likely to disperse as a produce contaminant</t>
  </si>
  <si>
    <t>Taxon has been cultivated and transported as an ornamental plant, but most dispersal occurs through waterways. (1)(2)</t>
  </si>
  <si>
    <t>Propagules adapted to wind dispersal</t>
  </si>
  <si>
    <t>Propagules water dispersed</t>
  </si>
  <si>
    <t>Propagules bird dispersed</t>
  </si>
  <si>
    <t>Propagules dispersed by other animals (externally)</t>
  </si>
  <si>
    <t>Propagules dispersed by other animals (internally)</t>
  </si>
  <si>
    <t>Seeds can be dispersed by being consumed by waterfowl.</t>
  </si>
  <si>
    <t>Prolific seed production</t>
  </si>
  <si>
    <t>“Estimates put seed production at 10,000 seeds for every square meter of L. grandiflora (1)"  Taxon is prolific seed producer (2)</t>
  </si>
  <si>
    <t>Evidence that a persistent propagule bank is formed (&gt;1 yr)</t>
  </si>
  <si>
    <t>Taxon can "also repopulate disturbed areas from seed banks." (1) Little information known on how long propagules can persist in seed bank.</t>
  </si>
  <si>
    <t>Well controlled by herbicides</t>
  </si>
  <si>
    <t>Noted reduced biomass of L. grandiflora after application of glyphosate, imazamox, and imazapyr (1). Taxon can be controlled with herbicides. (1)(2)(3)</t>
  </si>
  <si>
    <t>(1) 
  Hussner, A., Stiers, I., Verhofstad, M. J. J. M., Bakker, E. S., Grutters, B. M. C., Haury, J., van Valkenburg, J. L. C. H., Brundu, G., Newman, J., Clayton, J. S., Anderson, L. W. J., &amp; Hofstra, D. (2017). Management and control methods of invasive alien freshwater aquatic plants: A review. Aquatic Botany, 136, 112–137. https://doi.org/10.1016/j.aquabot.2016.08.002
(2) https://nas.er.usgs.gov/queries/greatlakes/FactSheet.aspx?Species_ID=253&amp;Potential=Y&amp;Type=2&amp;HUCNumber=DGreatLakes (3) https://www.cabidigitallibrary.org/doi/full/10.1079/cabicompendium.109148</t>
  </si>
  <si>
    <t>Tolerates, or benefits from, mutilation or cultivation</t>
  </si>
  <si>
    <t>Taxon grows rapidly from vegetative cuttings and fragments and will disperse widely from plants that have been cut. (1)(2)</t>
  </si>
  <si>
    <t>Effective natural enemies present in U.S.</t>
  </si>
  <si>
    <r>
      <t>"The water primrose beetle </t>
    </r>
    <r>
      <rPr>
        <i/>
        <sz val="12"/>
        <color rgb="FF333333"/>
        <rFont val="Calibri"/>
        <scheme val="minor"/>
      </rPr>
      <t>Lysathia ludoviciana</t>
    </r>
    <r>
      <rPr>
        <sz val="12"/>
        <color rgb="FF333333"/>
        <rFont val="Calibri"/>
        <scheme val="minor"/>
      </rPr>
      <t> is relatively host-specific, and natural hosts include parrotfeather (</t>
    </r>
    <r>
      <rPr>
        <i/>
        <sz val="12"/>
        <color rgb="FF333333"/>
        <rFont val="Calibri"/>
        <scheme val="minor"/>
      </rPr>
      <t>Myriophyllum aquaticum</t>
    </r>
    <r>
      <rPr>
        <sz val="12"/>
        <color rgb="FF333333"/>
        <rFont val="Calibri"/>
        <scheme val="minor"/>
      </rPr>
      <t>), </t>
    </r>
    <r>
      <rPr>
        <i/>
        <sz val="12"/>
        <color rgb="FF333333"/>
        <rFont val="Calibri"/>
        <scheme val="minor"/>
      </rPr>
      <t>Ludwigia peploides</t>
    </r>
    <r>
      <rPr>
        <sz val="12"/>
        <color rgb="FF333333"/>
        <rFont val="Calibri"/>
        <scheme val="minor"/>
      </rPr>
      <t> and </t>
    </r>
    <r>
      <rPr>
        <i/>
        <sz val="12"/>
        <color rgb="FF333333"/>
        <rFont val="Calibri"/>
        <scheme val="minor"/>
      </rPr>
      <t xml:space="preserve">L. grandiflora." (1). Water primrose beetle is noted to occur throughout the Southeast U.S. including Florida. (2) </t>
    </r>
  </si>
  <si>
    <t>(1) https://www.cabidigitallibrary.org/doi/full/10.1079/cabicompendium.109148 (2) https://www.gbif.org/species/1047602</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</si>
  <si>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</si>
  <si>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</si>
  <si>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</si>
  <si>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</si>
  <si>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</si>
  <si>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</si>
  <si>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</si>
  <si>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</si>
  <si>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</si>
  <si>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</si>
  <si>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</si>
  <si>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</si>
  <si>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</si>
  <si>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</si>
  <si>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</si>
  <si>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</si>
  <si>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</si>
  <si>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</si>
  <si>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</si>
  <si>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</si>
  <si>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</si>
  <si>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</si>
  <si>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</si>
  <si>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</si>
  <si>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</si>
  <si>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</si>
  <si>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</si>
  <si>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</si>
  <si>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</si>
  <si>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</si>
  <si>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</si>
  <si>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</si>
  <si>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</si>
  <si>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</si>
  <si>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</si>
  <si>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</si>
  <si>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</si>
  <si>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</si>
  <si>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</si>
  <si>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</si>
  <si>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</si>
  <si>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</si>
  <si>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</si>
  <si>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</si>
  <si>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</si>
  <si>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</si>
  <si>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</si>
  <si>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</si>
  <si>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</si>
  <si>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</si>
  <si>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</si>
  <si>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</si>
  <si>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</si>
  <si>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</si>
  <si>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</si>
  <si>
    <t>Taxon commonly occurs in wet disturbed areas (1) (2)</t>
  </si>
  <si>
    <t xml:space="preserve">Taxon outcompetes native vegetation and alters habitat ecology (1) (2) (3). </t>
  </si>
  <si>
    <t>(1) https://nas.er.usgs.gov/queries/factsheet.aspx?SpeciesID=253 (2) https://www.cabidigitallibrary.org/doi/full/10.1079/cabicompendium.109148 (3) Stiers, I., Njambuya, J., &amp; Triest, L. (2011). Competitive abilities of invasive Lagarosiphon major and native Ceratophyllum demersum in monocultures and mixed cultures in relation to experimental sediment dredging. Aquatic Botany, 95(2), 161-166.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</si>
</sst>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scheme val="minor"/>
    </font>
    <font>
      <sz val="11"/>
      <color theme="1"/>
      <name val="Calibri"/>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b/>
      <sz val="11"/>
      <color rgb="FFFF0000"/>
      <name val="Calibri"/>
      <family val="2"/>
      <scheme val="minor"/>
    </font>
    <font>
      <sz val="11"/>
      <color rgb="FFFF0000"/>
      <name val="Calibri"/>
      <scheme val="minor"/>
    </font>
    <font>
      <b/>
      <sz val="11"/>
      <color theme="1"/>
      <name val="Calibri"/>
      <scheme val="minor"/>
    </font>
    <font>
      <sz val="12"/>
      <color rgb="FF333333"/>
      <name val="Calibri"/>
      <scheme val="minor"/>
    </font>
    <font>
      <i/>
      <sz val="12"/>
      <color rgb="FF333333"/>
      <name val="Calibri"/>
      <scheme val="minor"/>
    </font>
    <font>
      <sz val="11"/>
      <color rgb="FF000000"/>
      <name val="Calibri"/>
      <scheme val="minor"/>
    </font>
    <font>
      <sz val="10"/>
      <name val="Calibri"/>
      <scheme val="minor"/>
    </font>
    <font>
      <sz val="10"/>
      <color theme="1"/>
      <name val="Calibri"/>
      <scheme val="minor"/>
    </font>
    <font>
      <sz val="12"/>
      <color rgb="FF000000"/>
      <name val="Calibri"/>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61">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3" fillId="0" borderId="15" xfId="0" applyFont="1" applyBorder="1" applyAlignment="1">
      <alignment horizontal="center"/>
    </xf>
    <xf numFmtId="0" fontId="3" fillId="0" borderId="0" xfId="0" applyFont="1" applyAlignment="1" applyProtection="1">
      <alignment horizontal="center" vertical="top"/>
      <protection locked="0"/>
    </xf>
    <xf numFmtId="0" fontId="3" fillId="0" borderId="0" xfId="0" applyFont="1" applyAlignment="1" applyProtection="1">
      <alignment horizontal="center" vertical="top" wrapText="1"/>
    </xf>
    <xf numFmtId="0" fontId="3"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3" fillId="0" borderId="2" xfId="0" applyFont="1" applyBorder="1" applyAlignment="1" applyProtection="1">
      <alignment wrapText="1"/>
    </xf>
    <xf numFmtId="0" fontId="3" fillId="0" borderId="3" xfId="0" applyFont="1" applyBorder="1" applyAlignment="1" applyProtection="1">
      <alignment wrapText="1"/>
    </xf>
    <xf numFmtId="0" fontId="0" fillId="0" borderId="0" xfId="0" applyAlignment="1" applyProtection="1">
      <alignment horizontal="center" vertical="center" wrapText="1"/>
    </xf>
    <xf numFmtId="0" fontId="3" fillId="0" borderId="5" xfId="0" applyFont="1" applyBorder="1" applyAlignment="1" applyProtection="1">
      <alignment wrapText="1"/>
    </xf>
    <xf numFmtId="0" fontId="0" fillId="0" borderId="1" xfId="0" applyBorder="1" applyAlignment="1" applyProtection="1">
      <alignment horizontal="center" vertical="center" wrapText="1"/>
    </xf>
    <xf numFmtId="0" fontId="3" fillId="0" borderId="0" xfId="0" applyFont="1" applyAlignment="1" applyProtection="1">
      <alignment wrapText="1"/>
    </xf>
    <xf numFmtId="0" fontId="3" fillId="0" borderId="22" xfId="0" applyFont="1" applyBorder="1" applyAlignment="1" applyProtection="1">
      <alignment wrapText="1"/>
    </xf>
    <xf numFmtId="0" fontId="8" fillId="0" borderId="22" xfId="0" applyFont="1" applyBorder="1" applyAlignment="1" applyProtection="1">
      <alignment wrapText="1"/>
    </xf>
    <xf numFmtId="2" fontId="12" fillId="0" borderId="29" xfId="0" applyNumberFormat="1" applyFont="1" applyBorder="1" applyAlignment="1">
      <alignment horizontal="left" vertical="top" wrapText="1"/>
    </xf>
    <xf numFmtId="2" fontId="13" fillId="5" borderId="29" xfId="0" applyNumberFormat="1" applyFont="1" applyFill="1" applyBorder="1" applyAlignment="1">
      <alignment horizontal="left" vertical="top" wrapText="1"/>
    </xf>
    <xf numFmtId="0" fontId="15" fillId="5" borderId="29" xfId="0" applyFont="1" applyFill="1" applyBorder="1" applyAlignment="1">
      <alignment vertical="top" wrapText="1"/>
    </xf>
    <xf numFmtId="0" fontId="14" fillId="5" borderId="29" xfId="0" applyFont="1" applyFill="1" applyBorder="1" applyAlignment="1">
      <alignment horizontal="left" vertical="top" wrapText="1"/>
    </xf>
    <xf numFmtId="0" fontId="8" fillId="5" borderId="29" xfId="0" applyFont="1" applyFill="1" applyBorder="1" applyAlignment="1">
      <alignment vertical="top" wrapText="1"/>
    </xf>
    <xf numFmtId="2" fontId="12" fillId="0" borderId="0" xfId="0" applyNumberFormat="1" applyFont="1" applyAlignment="1">
      <alignment horizontal="right" vertical="top" wrapText="1"/>
    </xf>
    <xf numFmtId="0" fontId="12" fillId="0" borderId="0" xfId="0" applyFont="1" applyAlignment="1">
      <alignment vertical="top" wrapText="1"/>
    </xf>
    <xf numFmtId="0" fontId="14" fillId="0" borderId="0" xfId="0" applyFont="1"/>
    <xf numFmtId="0" fontId="16" fillId="0" borderId="2" xfId="0" applyFont="1" applyBorder="1" applyAlignment="1">
      <alignment vertical="top" wrapText="1"/>
    </xf>
    <xf numFmtId="0" fontId="17" fillId="0" borderId="3" xfId="0" applyFont="1" applyBorder="1" applyAlignment="1">
      <alignment wrapText="1"/>
    </xf>
    <xf numFmtId="0" fontId="18" fillId="0" borderId="4" xfId="0" applyFont="1" applyBorder="1" applyAlignment="1">
      <alignment wrapText="1"/>
    </xf>
    <xf numFmtId="0" fontId="19" fillId="0" borderId="22" xfId="0" applyFont="1" applyBorder="1"/>
    <xf numFmtId="0" fontId="19" fillId="0" borderId="0" xfId="0" applyFont="1"/>
    <xf numFmtId="0" fontId="20" fillId="0" borderId="23" xfId="0" applyFont="1" applyBorder="1"/>
    <xf numFmtId="0" fontId="19" fillId="0" borderId="5" xfId="0" applyFont="1" applyBorder="1"/>
    <xf numFmtId="0" fontId="19" fillId="0" borderId="1" xfId="0" applyFont="1" applyBorder="1"/>
    <xf numFmtId="0" fontId="20" fillId="0" borderId="6" xfId="0" applyFont="1" applyBorder="1"/>
    <xf numFmtId="0" fontId="8" fillId="4" borderId="29" xfId="0" applyFont="1" applyFill="1" applyBorder="1" applyAlignment="1">
      <alignment horizontal="center" wrapText="1"/>
    </xf>
    <xf numFmtId="0" fontId="8" fillId="4" borderId="29" xfId="0" applyFont="1" applyFill="1" applyBorder="1" applyAlignment="1">
      <alignment horizontal="center" vertical="top"/>
    </xf>
    <xf numFmtId="0" fontId="8" fillId="4" borderId="29" xfId="0" applyFont="1" applyFill="1" applyBorder="1" applyAlignment="1">
      <alignment horizontal="center" vertical="top" wrapText="1"/>
    </xf>
    <xf numFmtId="0" fontId="22" fillId="0" borderId="29" xfId="0" applyFont="1" applyBorder="1" applyAlignment="1">
      <alignment vertical="center" wrapText="1"/>
    </xf>
    <xf numFmtId="0" fontId="0" fillId="0" borderId="29" xfId="0" applyBorder="1" applyAlignment="1">
      <alignment vertical="center" wrapText="1"/>
    </xf>
    <xf numFmtId="0" fontId="23" fillId="0" borderId="29" xfId="0" applyFont="1" applyBorder="1" applyAlignment="1">
      <alignment vertical="center" wrapText="1"/>
    </xf>
    <xf numFmtId="0" fontId="14" fillId="0" borderId="29" xfId="0" applyFont="1" applyBorder="1" applyAlignment="1">
      <alignment vertical="center" wrapText="1"/>
    </xf>
    <xf numFmtId="0" fontId="24" fillId="0" borderId="29" xfId="0" applyFont="1" applyBorder="1" applyAlignment="1">
      <alignment vertical="center" wrapText="1"/>
    </xf>
    <xf numFmtId="0" fontId="25"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2" fillId="0" borderId="0" xfId="0" applyNumberFormat="1" applyFont="1" applyAlignment="1" applyProtection="1">
      <alignment horizontal="right" vertical="top" wrapText="1"/>
    </xf>
    <xf numFmtId="0" fontId="12" fillId="0" borderId="0" xfId="0" applyFont="1" applyAlignment="1" applyProtection="1">
      <alignment vertical="top" wrapText="1"/>
    </xf>
    <xf numFmtId="0" fontId="14" fillId="0" borderId="0" xfId="0" applyFont="1" applyAlignment="1" applyProtection="1">
      <alignment vertical="top" wrapText="1"/>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0" fillId="0" borderId="14" xfId="0" applyBorder="1" applyProtection="1"/>
    <xf numFmtId="0" fontId="3" fillId="3" borderId="30" xfId="0" applyFont="1" applyFill="1" applyBorder="1" applyAlignment="1" applyProtection="1">
      <alignment horizontal="right"/>
    </xf>
    <xf numFmtId="0" fontId="8" fillId="4" borderId="29" xfId="0" applyFont="1" applyFill="1" applyBorder="1" applyAlignment="1" applyProtection="1">
      <alignment horizontal="center" vertical="center" wrapText="1"/>
    </xf>
    <xf numFmtId="2" fontId="12" fillId="0" borderId="29" xfId="0" applyNumberFormat="1" applyFont="1" applyBorder="1" applyAlignment="1" applyProtection="1">
      <alignment horizontal="left" vertical="top" wrapText="1"/>
    </xf>
    <xf numFmtId="0" fontId="12" fillId="0" borderId="10" xfId="0" applyFont="1" applyBorder="1" applyAlignment="1" applyProtection="1">
      <alignment vertical="top" wrapText="1"/>
    </xf>
    <xf numFmtId="0" fontId="13" fillId="0" borderId="29" xfId="0" applyFont="1" applyBorder="1" applyAlignment="1" applyProtection="1">
      <alignment horizontal="center" vertical="top" wrapText="1"/>
    </xf>
    <xf numFmtId="0" fontId="13" fillId="0" borderId="0" xfId="0" applyFont="1" applyAlignment="1" applyProtection="1">
      <alignment vertical="center" wrapText="1"/>
    </xf>
    <xf numFmtId="0" fontId="13" fillId="0" borderId="0" xfId="0" applyFont="1" applyAlignment="1" applyProtection="1">
      <alignment vertical="top" wrapText="1"/>
    </xf>
    <xf numFmtId="0" fontId="0" fillId="0" borderId="29" xfId="0" applyBorder="1" applyAlignment="1" applyProtection="1">
      <alignment horizontal="center" vertical="top" wrapText="1"/>
    </xf>
    <xf numFmtId="0" fontId="14" fillId="0" borderId="10" xfId="0" applyFont="1" applyBorder="1" applyAlignment="1" applyProtection="1">
      <alignment vertical="top" wrapText="1"/>
    </xf>
    <xf numFmtId="16" fontId="13"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9" fillId="0" borderId="0" xfId="0" applyFont="1" applyAlignment="1" applyProtection="1">
      <alignment wrapText="1"/>
      <protection locked="0"/>
    </xf>
    <xf numFmtId="0" fontId="12" fillId="0" borderId="0" xfId="0" applyFont="1" applyAlignment="1" applyProtection="1">
      <alignment vertical="top" wrapText="1"/>
      <protection locked="0"/>
    </xf>
    <xf numFmtId="2" fontId="12" fillId="0" borderId="0" xfId="0" applyNumberFormat="1" applyFont="1" applyAlignment="1" applyProtection="1">
      <alignment horizontal="right" vertical="top" wrapText="1"/>
      <protection locked="0"/>
    </xf>
    <xf numFmtId="0" fontId="4"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6" fillId="5" borderId="28" xfId="0" applyFont="1" applyFill="1" applyBorder="1" applyAlignment="1" applyProtection="1">
      <alignment horizontal="left" vertical="center"/>
      <protection locked="0"/>
    </xf>
    <xf numFmtId="0" fontId="22" fillId="0" borderId="0" xfId="0" applyFont="1" applyAlignment="1" applyProtection="1">
      <alignment wrapText="1"/>
      <protection locked="0"/>
    </xf>
    <xf numFmtId="0" fontId="27" fillId="0" borderId="0" xfId="0" applyFont="1" applyAlignment="1" applyProtection="1">
      <alignment horizontal="center" vertical="top" wrapText="1"/>
      <protection locked="0"/>
    </xf>
    <xf numFmtId="0" fontId="30" fillId="0" borderId="0" xfId="0" applyFont="1" applyAlignment="1" applyProtection="1">
      <alignment wrapText="1"/>
      <protection locked="0"/>
    </xf>
    <xf numFmtId="0" fontId="29" fillId="0" borderId="0" xfId="0" applyFont="1" applyAlignment="1" applyProtection="1">
      <alignment horizontal="center" vertical="top" wrapText="1"/>
    </xf>
    <xf numFmtId="0" fontId="33" fillId="0" borderId="0" xfId="0" applyFont="1" applyAlignment="1" applyProtection="1">
      <alignment wrapText="1"/>
      <protection locked="0"/>
    </xf>
    <xf numFmtId="0" fontId="34" fillId="6" borderId="0" xfId="0" applyFont="1" applyFill="1" applyAlignment="1" applyProtection="1">
      <alignment wrapText="1"/>
      <protection locked="0"/>
    </xf>
    <xf numFmtId="0" fontId="34" fillId="6" borderId="0" xfId="0" applyFont="1" applyFill="1" applyProtection="1">
      <protection locked="0"/>
    </xf>
    <xf numFmtId="0" fontId="35" fillId="0" borderId="0" xfId="0" applyFont="1" applyAlignment="1" applyProtection="1">
      <alignment wrapText="1"/>
      <protection locked="0"/>
    </xf>
    <xf numFmtId="0" fontId="2"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alignment horizontal="left" vertical="top" wrapText="1"/>
      <protection locked="0"/>
    </xf>
    <xf numFmtId="0" fontId="1" fillId="0" borderId="26" xfId="0" applyFont="1" applyBorder="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3" fillId="0" borderId="20" xfId="0" applyFont="1" applyBorder="1" applyAlignment="1" applyProtection="1">
      <alignment horizontal="center" wrapText="1"/>
      <protection locked="0"/>
    </xf>
    <xf numFmtId="0" fontId="3" fillId="2" borderId="30" xfId="0" applyFont="1" applyFill="1" applyBorder="1" applyAlignment="1" applyProtection="1">
      <alignment horizontal="center" wrapText="1"/>
    </xf>
    <xf numFmtId="0" fontId="3" fillId="2" borderId="32" xfId="0" applyFont="1" applyFill="1" applyBorder="1" applyAlignment="1" applyProtection="1">
      <alignment horizontal="center" wrapText="1"/>
    </xf>
    <xf numFmtId="0" fontId="3"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6" fillId="2" borderId="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5" fillId="2" borderId="10" xfId="0" applyFont="1" applyFill="1" applyBorder="1" applyAlignment="1">
      <alignment horizontal="center"/>
    </xf>
    <xf numFmtId="0" fontId="5"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11" fillId="4" borderId="10" xfId="0" applyFont="1" applyFill="1" applyBorder="1" applyAlignment="1" applyProtection="1">
      <alignment horizontal="center" vertical="center" wrapText="1"/>
    </xf>
    <xf numFmtId="0" fontId="11" fillId="4" borderId="28" xfId="0" applyFont="1" applyFill="1" applyBorder="1" applyAlignment="1" applyProtection="1">
      <alignment horizontal="center" vertical="center" wrapText="1"/>
    </xf>
    <xf numFmtId="0" fontId="8" fillId="5" borderId="29" xfId="0" applyFont="1" applyFill="1" applyBorder="1" applyAlignment="1">
      <alignment horizontal="center" vertical="top" wrapText="1"/>
    </xf>
    <xf numFmtId="0" fontId="10" fillId="0" borderId="10" xfId="0" applyFont="1" applyBorder="1" applyAlignment="1" applyProtection="1">
      <alignment horizontal="left"/>
    </xf>
    <xf numFmtId="0" fontId="10"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49" zoomScaleNormal="100" workbookViewId="0">
      <pane xSplit="1" topLeftCell="B1" activePane="topRight" state="frozen"/>
      <selection pane="topRight" activeCell="F53" sqref="F53"/>
    </sheetView>
  </sheetViews>
  <sheetFormatPr defaultColWidth="9.140625" defaultRowHeight="15" x14ac:dyDescent="0.25"/>
  <cols>
    <col min="1" max="1" width="9" style="58" customWidth="1"/>
    <col min="2" max="2" width="45.42578125" style="58" customWidth="1"/>
    <col min="3" max="3" width="12.42578125" style="58" customWidth="1"/>
    <col min="4" max="4" width="9.42578125" style="58" bestFit="1" customWidth="1"/>
    <col min="5" max="5" width="12.28515625" style="64" hidden="1" customWidth="1"/>
    <col min="6" max="6" width="61.42578125" style="106" customWidth="1"/>
    <col min="7" max="7" width="43.28515625" style="58" customWidth="1"/>
    <col min="8" max="8" width="27.140625" style="84" customWidth="1"/>
    <col min="9" max="16384" width="9.140625" style="58"/>
  </cols>
  <sheetData>
    <row r="1" spans="1:8" ht="30" customHeight="1" x14ac:dyDescent="0.25">
      <c r="A1" s="27" t="s">
        <v>0</v>
      </c>
      <c r="B1" s="84" t="s">
        <v>1</v>
      </c>
      <c r="C1" s="56"/>
      <c r="D1" s="56"/>
      <c r="E1" s="57"/>
      <c r="F1" s="107" t="s">
        <v>2</v>
      </c>
      <c r="G1" s="56"/>
    </row>
    <row r="2" spans="1:8" s="17" customFormat="1" ht="30.75" customHeight="1" x14ac:dyDescent="0.25">
      <c r="A2" s="18" t="s">
        <v>3</v>
      </c>
      <c r="B2" s="18" t="s">
        <v>4</v>
      </c>
      <c r="C2" s="18" t="s">
        <v>5</v>
      </c>
      <c r="D2" s="18" t="s">
        <v>6</v>
      </c>
      <c r="E2" s="87" t="s">
        <v>7</v>
      </c>
      <c r="F2" s="101" t="s">
        <v>8</v>
      </c>
      <c r="G2" s="18" t="s">
        <v>9</v>
      </c>
      <c r="H2" s="99"/>
    </row>
    <row r="3" spans="1:8" x14ac:dyDescent="0.25">
      <c r="A3" s="65">
        <v>1.01</v>
      </c>
      <c r="B3" s="66" t="s">
        <v>10</v>
      </c>
      <c r="C3" s="56" t="s">
        <v>11</v>
      </c>
      <c r="D3" s="59">
        <f>IF(C3="Y",-3,IF(C3="N",0," "))</f>
        <v>0</v>
      </c>
      <c r="E3" s="57"/>
      <c r="F3" s="102" t="s">
        <v>12</v>
      </c>
      <c r="G3" s="63"/>
    </row>
    <row r="4" spans="1:8" ht="30" x14ac:dyDescent="0.25">
      <c r="A4" s="65">
        <v>1.02</v>
      </c>
      <c r="B4" s="66" t="s">
        <v>13</v>
      </c>
      <c r="C4" s="56"/>
      <c r="D4" s="59" t="str">
        <f>IF(C4="n",VLOOKUP(LUT!C5,LUT!C4:E52,2),IF(C4="y",VLOOKUP(LUT!C5,LUT!C4:E52,3)," "))</f>
        <v xml:space="preserve"> </v>
      </c>
      <c r="E4" s="57"/>
      <c r="F4" s="108"/>
      <c r="G4" s="63"/>
    </row>
    <row r="5" spans="1:8" x14ac:dyDescent="0.25">
      <c r="A5" s="65">
        <v>1.03</v>
      </c>
      <c r="B5" s="66" t="s">
        <v>14</v>
      </c>
      <c r="C5" s="56"/>
      <c r="D5" s="59" t="str">
        <f>IF(C5="Y",1,IF(C5="N",-1," "))</f>
        <v xml:space="preserve"> </v>
      </c>
      <c r="E5" s="57"/>
      <c r="F5" s="108"/>
      <c r="G5" s="63"/>
    </row>
    <row r="6" spans="1:8" ht="75" x14ac:dyDescent="0.25">
      <c r="A6" s="65">
        <v>2.0099999999999998</v>
      </c>
      <c r="B6" s="66" t="s">
        <v>15</v>
      </c>
      <c r="C6" s="56">
        <v>3</v>
      </c>
      <c r="D6" s="60"/>
      <c r="E6" s="57"/>
      <c r="F6" s="102" t="s">
        <v>16</v>
      </c>
      <c r="G6" s="63" t="s">
        <v>17</v>
      </c>
    </row>
    <row r="7" spans="1:8" ht="30" x14ac:dyDescent="0.25">
      <c r="A7" s="65">
        <v>2.02</v>
      </c>
      <c r="B7" s="66" t="s">
        <v>18</v>
      </c>
      <c r="C7" s="56">
        <v>3</v>
      </c>
      <c r="D7" s="60"/>
      <c r="E7" s="57"/>
      <c r="F7" s="108" t="s">
        <v>17</v>
      </c>
      <c r="G7" s="63"/>
    </row>
    <row r="8" spans="1:8" ht="30" x14ac:dyDescent="0.25">
      <c r="A8" s="65">
        <v>2.0299999999999998</v>
      </c>
      <c r="B8" s="66" t="s">
        <v>19</v>
      </c>
      <c r="C8" s="56" t="s">
        <v>20</v>
      </c>
      <c r="D8" s="59">
        <f>IF(C8="y",1,IF(C8="n",0," "))</f>
        <v>1</v>
      </c>
      <c r="E8" s="57"/>
      <c r="F8" s="102"/>
      <c r="G8" s="98"/>
    </row>
    <row r="9" spans="1:8" ht="125.25" customHeight="1" x14ac:dyDescent="0.25">
      <c r="A9" s="65">
        <v>2.04</v>
      </c>
      <c r="B9" s="66" t="s">
        <v>21</v>
      </c>
      <c r="C9" s="56" t="s">
        <v>20</v>
      </c>
      <c r="D9" s="59">
        <f>IF(C9="y",1,IF(C9="n",0," "))</f>
        <v>1</v>
      </c>
      <c r="E9" s="57"/>
      <c r="F9" s="102" t="s">
        <v>22</v>
      </c>
      <c r="G9" s="98" t="s">
        <v>23</v>
      </c>
    </row>
    <row r="10" spans="1:8" ht="45" x14ac:dyDescent="0.25">
      <c r="A10" s="65">
        <v>2.0499999999999998</v>
      </c>
      <c r="B10" s="66" t="s">
        <v>24</v>
      </c>
      <c r="C10" s="56" t="s">
        <v>20</v>
      </c>
      <c r="D10" s="60"/>
      <c r="E10" s="57"/>
      <c r="F10" s="107" t="s">
        <v>25</v>
      </c>
      <c r="G10" s="56" t="s">
        <v>26</v>
      </c>
    </row>
    <row r="11" spans="1:8" ht="90" x14ac:dyDescent="0.25">
      <c r="A11" s="65">
        <v>3.01</v>
      </c>
      <c r="B11" s="66" t="s">
        <v>27</v>
      </c>
      <c r="C11" s="56" t="s">
        <v>20</v>
      </c>
      <c r="D11" s="59">
        <f>IF(C11="n",LOOKUP($C$10,LUT!$I$13:$L$13,LUT!$I$14:$L$14),IF(AND(C11="y",AND($C$6=1,$C$7=1)),2,IF(AND(C11="y",AND($C$6=1,$C$7=2)),1,IF(AND(C11="y",AND($C$6=1,$C$7=3)),1,IF(AND(C11="y",AND($C$6=2,$C$7=1)),2,IF(AND(C11="y",AND($C$6=2,$C$7=2)),2,IF(AND(C11="y",AND($C$6=2,$C$7=3)),1,IF(AND(C11="y",AND($C$6=3,$C$7=1)),2,IF(AND(C11="y",AND($C$6=3,$C$7=2)),2,IF(AND(C11="y",AND($C$6=3,$C$7=3)),2,""))))))))))</f>
        <v>2</v>
      </c>
      <c r="E11" s="57"/>
      <c r="F11" s="107" t="s">
        <v>28</v>
      </c>
      <c r="G11" s="56" t="s">
        <v>29</v>
      </c>
    </row>
    <row r="12" spans="1:8" ht="90" x14ac:dyDescent="0.25">
      <c r="A12" s="65">
        <v>3.02</v>
      </c>
      <c r="B12" s="66" t="s">
        <v>30</v>
      </c>
      <c r="C12" s="56" t="s">
        <v>20</v>
      </c>
      <c r="D12" s="59">
        <f>IF(C12="n",LOOKUP($C$10,LUT!$I$13:$L$13,LUT!$I$15:$L$15),IF(AND(C12="y",AND($C$6=1,$C$7=1)),2,IF(AND(C12="y",AND($C$6=1,$C$7=2)),1,IF(AND(C12="y",AND($C$6=1,$C$7=3)),1,IF(AND(C12="y",AND($C$6=2,$C$7=1)),2,IF(AND(C12="y",AND($C$6=2,$C$7=2)),2,IF(AND(C12="y",AND($C$6=2,$C$7=3)),1,IF(AND(C12="y",AND($C$6=3,$C$7=1)),2,IF(AND(C12="y",AND($C$6=3,$C$7=2)),2,IF(AND(C12="y",AND($C$6=3,$C$7=3)),2,""))))))))))</f>
        <v>2</v>
      </c>
      <c r="E12" s="57"/>
      <c r="F12" s="103" t="s">
        <v>171</v>
      </c>
      <c r="G12" s="56" t="s">
        <v>93</v>
      </c>
    </row>
    <row r="13" spans="1:8" x14ac:dyDescent="0.25">
      <c r="A13" s="65">
        <v>3.03</v>
      </c>
      <c r="B13" s="66" t="s">
        <v>32</v>
      </c>
      <c r="C13" s="56" t="s">
        <v>11</v>
      </c>
      <c r="D13" s="59">
        <f>IF(C13="n",LOOKUP($C$10,LUT!$I$13:$L$13,LUT!$I$15:$L$15),IF(AND(C13="y",AND($C$6=1,$C$7=1)),4,IF(AND(C13="y",AND($C$6=1,$C$7=2)),2,IF(AND(C13="y",AND($C$6=1,$C$7=3)),1,IF(AND(C13="y",AND($C$6=2,$C$7=1)),4,IF(AND(C13="y",AND($C$6=2,$C$7=2)),3,IF(AND(C13="y",AND($C$6=2,$C$7=3)),2,IF(AND(C13="y",AND($C$6=3,$C$7=1)),4,IF(AND(C13="y",AND($C$6=3,$C$7=2)),4,IF(AND(C13="y",AND($C$6=3,$C$7=3)),4,""))))))))))</f>
        <v>0</v>
      </c>
      <c r="E13" s="57"/>
      <c r="F13" s="104" t="s">
        <v>33</v>
      </c>
      <c r="G13" s="63"/>
    </row>
    <row r="14" spans="1:8" ht="165" x14ac:dyDescent="0.25">
      <c r="A14" s="65">
        <v>3.04</v>
      </c>
      <c r="B14" s="66" t="s">
        <v>34</v>
      </c>
      <c r="C14" s="56" t="s">
        <v>20</v>
      </c>
      <c r="D14" s="59">
        <f>IF(C14="n",LOOKUP($C$10,LUT!$I$13:$L$13,LUT!$I$15:$L$15),IF(AND(C14="y",AND($C$6=1,$C$7=1)),4,IF(AND(C14="y",AND($C$6=1,$C$7=2)),2,IF(AND(C14="y",AND($C$6=1,$C$7=3)),1,IF(AND(C14="y",AND($C$6=2,$C$7=1)),4,IF(AND(C14="y",AND($C$6=2,$C$7=2)),3,IF(AND(C14="y",AND($C$6=2,$C$7=3)),2,IF(AND(C14="y",AND($C$6=3,$C$7=1)),4,IF(AND(C14="y",AND($C$6=3,$C$7=2)),4,IF(AND(C14="y",AND($C$6=3,$C$7=3)),4,""))))))))))</f>
        <v>4</v>
      </c>
      <c r="E14" s="57"/>
      <c r="F14" s="105" t="s">
        <v>172</v>
      </c>
      <c r="G14" s="56" t="s">
        <v>173</v>
      </c>
    </row>
    <row r="15" spans="1:8" ht="165" x14ac:dyDescent="0.25">
      <c r="A15" s="65">
        <v>3.05</v>
      </c>
      <c r="B15" s="66" t="s">
        <v>35</v>
      </c>
      <c r="C15" s="56" t="s">
        <v>20</v>
      </c>
      <c r="D15" s="59">
        <f>IF(C15="n",LOOKUP($C$10,LUT!$I$13:$L$13,LUT!$I$15:$L$15),IF(AND(C15="y",AND($C$6=1,$C$7=1)),2,IF(AND(C15="y",AND($C$6=1,$C$7=2)),1,IF(AND(C15="y",AND($C$6=1,$C$7=3)),1,IF(AND(C15="y",AND($C$6=2,$C$7=1)),2,IF(AND(C15="y",AND($C$6=2,$C$7=2)),2,IF(AND(C15="y",AND($C$6=2,$C$7=3)),1,IF(AND(C15="y",AND($C$6=3,$C$7=1)),2,IF(AND(C15="y",AND($C$6=3,$C$7=2)),2,IF(AND(C15="y",AND($C$6=3,$C$7=3)),2,""))))))))))</f>
        <v>2</v>
      </c>
      <c r="E15" s="57"/>
      <c r="F15" s="108" t="s">
        <v>36</v>
      </c>
      <c r="G15" s="56" t="s">
        <v>37</v>
      </c>
    </row>
    <row r="16" spans="1:8" x14ac:dyDescent="0.25">
      <c r="A16" s="65">
        <v>4.01</v>
      </c>
      <c r="B16" s="66" t="s">
        <v>38</v>
      </c>
      <c r="C16" s="56" t="s">
        <v>11</v>
      </c>
      <c r="D16" s="59">
        <f>IF(C16="y",VLOOKUP(LUT!C17,LUT!$C$4:$E$52,3),IF(C16="n",VLOOKUP(LUT!C17,LUT!$C$4:$E$52,2)," "))</f>
        <v>0</v>
      </c>
      <c r="E16" s="57"/>
      <c r="F16" s="108" t="s">
        <v>39</v>
      </c>
      <c r="G16" s="63"/>
    </row>
    <row r="17" spans="1:7" ht="105" x14ac:dyDescent="0.25">
      <c r="A17" s="65">
        <v>4.0199999999999996</v>
      </c>
      <c r="B17" s="66" t="s">
        <v>40</v>
      </c>
      <c r="C17" s="56" t="s">
        <v>20</v>
      </c>
      <c r="D17" s="59">
        <f>IF(C17="y",VLOOKUP(LUT!C18,LUT!C4:E52,3),IF(C17="n",VLOOKUP(LUT!C18,LUT!C4:E52,2)," "))</f>
        <v>1</v>
      </c>
      <c r="E17" s="57"/>
      <c r="F17" s="108" t="s">
        <v>41</v>
      </c>
      <c r="G17" s="63" t="s">
        <v>42</v>
      </c>
    </row>
    <row r="18" spans="1:7" x14ac:dyDescent="0.25">
      <c r="A18" s="65">
        <v>4.03</v>
      </c>
      <c r="B18" s="66" t="s">
        <v>43</v>
      </c>
      <c r="C18" s="56" t="s">
        <v>11</v>
      </c>
      <c r="D18" s="59">
        <f>IF(C18="y",VLOOKUP(LUT!C19,LUT!$C$4:$E$52,3),IF(C18="n",VLOOKUP(LUT!C19,LUT!$C$4:$E$52,2)," "))</f>
        <v>0</v>
      </c>
      <c r="E18" s="57"/>
      <c r="F18" s="108" t="s">
        <v>39</v>
      </c>
      <c r="G18" s="63"/>
    </row>
    <row r="19" spans="1:7" ht="90" x14ac:dyDescent="0.25">
      <c r="A19" s="65">
        <v>4.04</v>
      </c>
      <c r="B19" s="66" t="s">
        <v>44</v>
      </c>
      <c r="C19" s="56" t="s">
        <v>20</v>
      </c>
      <c r="D19" s="59">
        <f>IF(C19="y",VLOOKUP(LUT!C20,LUT!$C$4:$E$52,3),IF(C19="n",VLOOKUP(LUT!C20,LUT!$C$4:$E$52,2)," "))</f>
        <v>1</v>
      </c>
      <c r="E19" s="57"/>
      <c r="F19" s="108" t="s">
        <v>45</v>
      </c>
      <c r="G19" s="63" t="s">
        <v>46</v>
      </c>
    </row>
    <row r="20" spans="1:7" ht="45" x14ac:dyDescent="0.25">
      <c r="A20" s="65">
        <v>4.05</v>
      </c>
      <c r="B20" s="66" t="s">
        <v>47</v>
      </c>
      <c r="C20" s="56" t="s">
        <v>48</v>
      </c>
      <c r="D20" s="59" t="str">
        <f>IF(C20="y",VLOOKUP(LUT!C21,LUT!$C$4:$E$52,3),IF(C20="n",VLOOKUP(LUT!C21,LUT!$C$4:$E$52,2)," "))</f>
        <v xml:space="preserve"> </v>
      </c>
      <c r="E20" s="57"/>
      <c r="F20" s="108" t="s">
        <v>49</v>
      </c>
      <c r="G20" s="63" t="s">
        <v>50</v>
      </c>
    </row>
    <row r="21" spans="1:7" ht="90" x14ac:dyDescent="0.25">
      <c r="A21" s="65">
        <v>4.0599999999999996</v>
      </c>
      <c r="B21" s="66" t="s">
        <v>51</v>
      </c>
      <c r="C21" s="56" t="s">
        <v>11</v>
      </c>
      <c r="D21" s="59">
        <f>IF(C21="y",VLOOKUP(LUT!C22,LUT!$C$4:$E$52,3),IF(C21="n",VLOOKUP(LUT!C22,LUT!$C$4:$E$52,2)," "))</f>
        <v>0</v>
      </c>
      <c r="E21" s="57"/>
      <c r="F21" s="108" t="s">
        <v>45</v>
      </c>
      <c r="G21" s="63" t="s">
        <v>46</v>
      </c>
    </row>
    <row r="22" spans="1:7" ht="45" x14ac:dyDescent="0.25">
      <c r="A22" s="65">
        <v>4.07</v>
      </c>
      <c r="B22" s="66" t="s">
        <v>52</v>
      </c>
      <c r="C22" s="56" t="s">
        <v>11</v>
      </c>
      <c r="D22" s="59">
        <f>IF(C22="y",VLOOKUP(LUT!C23,LUT!$C$4:$E$52,3),IF(C22="n",VLOOKUP(LUT!C23,LUT!$C$4:$E$52,2)," "))</f>
        <v>0</v>
      </c>
      <c r="E22" s="57"/>
      <c r="F22" s="108" t="s">
        <v>49</v>
      </c>
      <c r="G22" s="63" t="s">
        <v>50</v>
      </c>
    </row>
    <row r="23" spans="1:7" ht="45" x14ac:dyDescent="0.25">
      <c r="A23" s="65">
        <v>4.08</v>
      </c>
      <c r="B23" s="66" t="s">
        <v>53</v>
      </c>
      <c r="C23" s="56" t="s">
        <v>11</v>
      </c>
      <c r="D23" s="59">
        <f>IF(C23="y",VLOOKUP(LUT!C24,LUT!$C$4:$E$52,3),IF(C23="n",VLOOKUP(LUT!C24,LUT!$C$4:$E$52,2)," "))</f>
        <v>0</v>
      </c>
      <c r="E23" s="57"/>
      <c r="F23" s="108" t="s">
        <v>54</v>
      </c>
      <c r="G23" s="63" t="s">
        <v>31</v>
      </c>
    </row>
    <row r="24" spans="1:7" ht="45" x14ac:dyDescent="0.25">
      <c r="A24" s="65">
        <v>4.09</v>
      </c>
      <c r="B24" s="66" t="s">
        <v>55</v>
      </c>
      <c r="C24" s="56" t="s">
        <v>20</v>
      </c>
      <c r="D24" s="59">
        <f>IF(C24="y",VLOOKUP(LUT!C25,LUT!$C$4:$E$52,3),IF(C24="n",VLOOKUP(LUT!C25,LUT!$C$4:$E$52,2)," "))</f>
        <v>1</v>
      </c>
      <c r="E24" s="57"/>
      <c r="F24" s="108" t="s">
        <v>56</v>
      </c>
      <c r="G24" s="63" t="s">
        <v>23</v>
      </c>
    </row>
    <row r="25" spans="1:7" ht="90" x14ac:dyDescent="0.25">
      <c r="A25" s="65">
        <v>4.0999999999999996</v>
      </c>
      <c r="B25" s="67" t="s">
        <v>57</v>
      </c>
      <c r="C25" s="56" t="s">
        <v>20</v>
      </c>
      <c r="D25" s="59">
        <f>IF(C25="y",VLOOKUP(LUT!C26,LUT!$C$4:$E$52,3),IF(C25="n",VLOOKUP(LUT!C26,LUT!$C$4:$E$52,2)," "))</f>
        <v>1</v>
      </c>
      <c r="E25" s="57"/>
      <c r="F25" s="108" t="s">
        <v>58</v>
      </c>
      <c r="G25" s="63" t="s">
        <v>46</v>
      </c>
    </row>
    <row r="26" spans="1:7" ht="60" x14ac:dyDescent="0.25">
      <c r="A26" s="65">
        <v>4.1100000000000003</v>
      </c>
      <c r="B26" s="66" t="s">
        <v>59</v>
      </c>
      <c r="C26" s="56" t="s">
        <v>11</v>
      </c>
      <c r="D26" s="59">
        <f>IF(C26="y",VLOOKUP(LUT!C27,LUT!$C$4:$E$52,3),IF(C26="n",VLOOKUP(LUT!C27,LUT!$C$4:$E$52,2)," "))</f>
        <v>0</v>
      </c>
      <c r="E26" s="57"/>
      <c r="F26" s="108" t="s">
        <v>60</v>
      </c>
      <c r="G26" s="63" t="s">
        <v>61</v>
      </c>
    </row>
    <row r="27" spans="1:7" ht="105" x14ac:dyDescent="0.25">
      <c r="A27" s="65">
        <v>4.12</v>
      </c>
      <c r="B27" s="66" t="s">
        <v>62</v>
      </c>
      <c r="C27" s="56" t="s">
        <v>20</v>
      </c>
      <c r="D27" s="59">
        <f>IF(C27="y",VLOOKUP(LUT!C28,LUT!$C$4:$E$52,3),IF(C27="n",VLOOKUP(LUT!C28,LUT!$C$4:$E$52,2)," "))</f>
        <v>1</v>
      </c>
      <c r="E27" s="57"/>
      <c r="F27" s="108" t="s">
        <v>63</v>
      </c>
      <c r="G27" s="63" t="s">
        <v>64</v>
      </c>
    </row>
    <row r="28" spans="1:7" ht="195" x14ac:dyDescent="0.25">
      <c r="A28" s="65">
        <v>5.01</v>
      </c>
      <c r="B28" s="66" t="s">
        <v>65</v>
      </c>
      <c r="C28" s="56" t="s">
        <v>20</v>
      </c>
      <c r="D28" s="59">
        <f>IF(C28="y",VLOOKUP(LUT!C29,LUT!$C$4:$E$52,3),IF(C28="n",VLOOKUP(LUT!C29,LUT!$C$4:$E$52,2)," "))</f>
        <v>5</v>
      </c>
      <c r="E28" s="57"/>
      <c r="F28" s="108" t="s">
        <v>66</v>
      </c>
      <c r="G28" s="63" t="s">
        <v>67</v>
      </c>
    </row>
    <row r="29" spans="1:7" x14ac:dyDescent="0.25">
      <c r="A29" s="65">
        <v>5.0199999999999996</v>
      </c>
      <c r="B29" s="66" t="s">
        <v>68</v>
      </c>
      <c r="C29" s="56" t="s">
        <v>11</v>
      </c>
      <c r="D29" s="59">
        <f>IF(C29="y",VLOOKUP(LUT!C30,LUT!$C$4:$E$52,3),IF(C29="n",VLOOKUP(LUT!C30,LUT!$C$4:$E$52,2)," "))</f>
        <v>0</v>
      </c>
      <c r="E29" s="57"/>
      <c r="F29" s="108" t="s">
        <v>69</v>
      </c>
      <c r="G29" s="63"/>
    </row>
    <row r="30" spans="1:7" x14ac:dyDescent="0.25">
      <c r="A30" s="65">
        <v>5.03</v>
      </c>
      <c r="B30" s="66" t="s">
        <v>70</v>
      </c>
      <c r="C30" s="56" t="s">
        <v>11</v>
      </c>
      <c r="D30" s="59">
        <f>IF(C30="y",VLOOKUP(LUT!C31,LUT!$C$4:$E$52,3),IF(C30="n",VLOOKUP(LUT!C31,LUT!$C$4:$E$52,2)," "))</f>
        <v>0</v>
      </c>
      <c r="E30" s="57"/>
      <c r="F30" s="108" t="s">
        <v>71</v>
      </c>
      <c r="G30" s="63"/>
    </row>
    <row r="31" spans="1:7" ht="60" x14ac:dyDescent="0.25">
      <c r="A31" s="65">
        <v>5.04</v>
      </c>
      <c r="B31" s="66" t="s">
        <v>72</v>
      </c>
      <c r="C31" s="56" t="s">
        <v>11</v>
      </c>
      <c r="D31" s="59">
        <f>IF(C31="y",VLOOKUP(LUT!C32,LUT!$C$4:$E$52,3),IF(C31="n",VLOOKUP(LUT!C32,LUT!$C$4:$E$52,2)," "))</f>
        <v>0</v>
      </c>
      <c r="E31" s="57"/>
      <c r="F31" s="108" t="s">
        <v>73</v>
      </c>
      <c r="G31" s="63" t="s">
        <v>74</v>
      </c>
    </row>
    <row r="32" spans="1:7" ht="30" x14ac:dyDescent="0.25">
      <c r="A32" s="65">
        <v>6.01</v>
      </c>
      <c r="B32" s="66" t="s">
        <v>75</v>
      </c>
      <c r="C32" s="56" t="s">
        <v>11</v>
      </c>
      <c r="D32" s="59">
        <f>IF(C32="y",VLOOKUP(LUT!C33,LUT!$C$4:$E$52,3),IF(C32="n",VLOOKUP(LUT!C33,LUT!$C$4:$E$52,2)," "))</f>
        <v>0</v>
      </c>
      <c r="E32" s="57"/>
      <c r="F32" s="108" t="s">
        <v>39</v>
      </c>
      <c r="G32" s="63"/>
    </row>
    <row r="33" spans="1:7" ht="105" x14ac:dyDescent="0.25">
      <c r="A33" s="65">
        <v>6.02</v>
      </c>
      <c r="B33" s="66" t="s">
        <v>76</v>
      </c>
      <c r="C33" s="56" t="s">
        <v>20</v>
      </c>
      <c r="D33" s="59">
        <f>IF(C33="y",VLOOKUP(LUT!C34,LUT!$C$4:$E$52,3),IF(C33="n",VLOOKUP(LUT!C34,LUT!$C$4:$E$52,2)," "))</f>
        <v>1</v>
      </c>
      <c r="E33" s="57"/>
      <c r="F33" s="108" t="s">
        <v>77</v>
      </c>
      <c r="G33" s="63" t="s">
        <v>78</v>
      </c>
    </row>
    <row r="34" spans="1:7" ht="75" x14ac:dyDescent="0.25">
      <c r="A34" s="65">
        <v>6.03</v>
      </c>
      <c r="B34" s="66" t="s">
        <v>79</v>
      </c>
      <c r="C34" s="56" t="s">
        <v>20</v>
      </c>
      <c r="D34" s="59">
        <f>IF(C34="y",VLOOKUP(LUT!C35,LUT!$C$4:$E$52,3),IF(C34="n",VLOOKUP(LUT!C35,LUT!$C$4:$E$52,2)," "))</f>
        <v>1</v>
      </c>
      <c r="E34" s="57"/>
      <c r="F34" s="108" t="s">
        <v>80</v>
      </c>
      <c r="G34" s="63" t="s">
        <v>81</v>
      </c>
    </row>
    <row r="35" spans="1:7" ht="105" x14ac:dyDescent="0.25">
      <c r="A35" s="65">
        <v>6.04</v>
      </c>
      <c r="B35" s="66" t="s">
        <v>82</v>
      </c>
      <c r="C35" s="56" t="s">
        <v>48</v>
      </c>
      <c r="D35" s="59" t="str">
        <f>IF(C35="y",VLOOKUP(LUT!C36,LUT!$C$4:$E$52,3),IF(C35="n",VLOOKUP(LUT!C36,LUT!$C$4:$E$52,2)," "))</f>
        <v xml:space="preserve"> </v>
      </c>
      <c r="E35" s="57"/>
      <c r="F35" s="108" t="s">
        <v>83</v>
      </c>
      <c r="G35" s="63" t="s">
        <v>84</v>
      </c>
    </row>
    <row r="36" spans="1:7" ht="45" x14ac:dyDescent="0.25">
      <c r="A36" s="65">
        <v>6.05</v>
      </c>
      <c r="B36" s="66" t="s">
        <v>85</v>
      </c>
      <c r="C36" s="56" t="s">
        <v>11</v>
      </c>
      <c r="D36" s="59">
        <f>IF(C36="y",VLOOKUP(LUT!C37,LUT!$C$4:$E$52,3),IF(C36="n",VLOOKUP(LUT!C37,LUT!$C$4:$E$52,2)," "))</f>
        <v>0</v>
      </c>
      <c r="E36" s="57"/>
      <c r="F36" s="108" t="s">
        <v>86</v>
      </c>
      <c r="G36" s="63" t="s">
        <v>31</v>
      </c>
    </row>
    <row r="37" spans="1:7" ht="90" x14ac:dyDescent="0.25">
      <c r="A37" s="65">
        <v>6.06</v>
      </c>
      <c r="B37" s="66" t="s">
        <v>87</v>
      </c>
      <c r="C37" s="56" t="s">
        <v>20</v>
      </c>
      <c r="D37" s="59">
        <f>IF(C37="y",VLOOKUP(LUT!C38,LUT!$C$4:$E$52,3),IF(C37="n",VLOOKUP(LUT!C38,LUT!$C$4:$E$52,2)," "))</f>
        <v>1</v>
      </c>
      <c r="E37" s="57"/>
      <c r="F37" s="108" t="s">
        <v>88</v>
      </c>
      <c r="G37" s="63" t="s">
        <v>46</v>
      </c>
    </row>
    <row r="38" spans="1:7" x14ac:dyDescent="0.25">
      <c r="A38" s="65">
        <v>6.07</v>
      </c>
      <c r="B38" s="66" t="s">
        <v>89</v>
      </c>
      <c r="C38" s="83" t="s">
        <v>48</v>
      </c>
      <c r="D38" s="59" t="str">
        <f>IF(C38="1 or fewer",1,IF(C38="2 or 3",0,IF(C38&gt;="4 or more",-1," ")))</f>
        <v xml:space="preserve"> </v>
      </c>
      <c r="E38" s="57"/>
      <c r="F38" s="108" t="s">
        <v>90</v>
      </c>
      <c r="G38" s="63"/>
    </row>
    <row r="39" spans="1:7" ht="90" x14ac:dyDescent="0.25">
      <c r="A39" s="65">
        <v>7.01</v>
      </c>
      <c r="B39" s="66" t="s">
        <v>91</v>
      </c>
      <c r="C39" s="56" t="s">
        <v>20</v>
      </c>
      <c r="D39" s="59">
        <f>IF(C39="y",VLOOKUP(LUT!C40,LUT!$C$4:$E$52,3),IF(C39="n",VLOOKUP(LUT!C40,LUT!$C$4:$E$52,2)," "))</f>
        <v>1</v>
      </c>
      <c r="E39" s="57"/>
      <c r="F39" s="103" t="s">
        <v>92</v>
      </c>
      <c r="G39" s="56" t="s">
        <v>93</v>
      </c>
    </row>
    <row r="40" spans="1:7" ht="45" x14ac:dyDescent="0.25">
      <c r="A40" s="65">
        <v>7.02</v>
      </c>
      <c r="B40" s="66" t="s">
        <v>94</v>
      </c>
      <c r="C40" s="56" t="s">
        <v>20</v>
      </c>
      <c r="D40" s="59">
        <f>IF(C40="y",VLOOKUP(LUT!C41,LUT!$C$4:$E$52,3),IF(C40="n",VLOOKUP(LUT!C41,LUT!$C$4:$E$52,2)," "))</f>
        <v>1</v>
      </c>
      <c r="E40" s="57"/>
      <c r="F40" s="103" t="s">
        <v>95</v>
      </c>
      <c r="G40" s="56" t="s">
        <v>31</v>
      </c>
    </row>
    <row r="41" spans="1:7" ht="90" x14ac:dyDescent="0.25">
      <c r="A41" s="65">
        <v>7.03</v>
      </c>
      <c r="B41" s="66" t="s">
        <v>96</v>
      </c>
      <c r="C41" s="56" t="s">
        <v>11</v>
      </c>
      <c r="D41" s="59">
        <f>IF(C41="y",VLOOKUP(LUT!C42,LUT!$C$4:$E$52,3),IF(C41="n",VLOOKUP(LUT!C42,LUT!$C$4:$E$52,2)," "))</f>
        <v>-1</v>
      </c>
      <c r="E41" s="57"/>
      <c r="F41" s="108" t="s">
        <v>97</v>
      </c>
      <c r="G41" s="56" t="s">
        <v>93</v>
      </c>
    </row>
    <row r="42" spans="1:7" x14ac:dyDescent="0.25">
      <c r="A42" s="65">
        <v>7.04</v>
      </c>
      <c r="B42" s="66" t="s">
        <v>98</v>
      </c>
      <c r="C42" s="56" t="s">
        <v>11</v>
      </c>
      <c r="D42" s="59">
        <f>IF(C42="y",VLOOKUP(LUT!C43,LUT!$C$4:$E$52,3),IF(C42="n",VLOOKUP(LUT!C43,LUT!$C$4:$E$52,2)," "))</f>
        <v>-1</v>
      </c>
      <c r="E42" s="57"/>
      <c r="F42" s="108" t="s">
        <v>39</v>
      </c>
      <c r="G42" s="63"/>
    </row>
    <row r="43" spans="1:7" ht="90" x14ac:dyDescent="0.25">
      <c r="A43" s="65">
        <v>7.05</v>
      </c>
      <c r="B43" s="66" t="s">
        <v>99</v>
      </c>
      <c r="C43" s="56" t="s">
        <v>20</v>
      </c>
      <c r="D43" s="59">
        <f>IF(C43="y",VLOOKUP(LUT!C44,LUT!$C$4:$E$52,3),IF(C43="n",VLOOKUP(LUT!C44,LUT!$C$4:$E$52,2)," "))</f>
        <v>1</v>
      </c>
      <c r="E43" s="57"/>
      <c r="F43" s="103" t="s">
        <v>92</v>
      </c>
      <c r="G43" s="56" t="s">
        <v>93</v>
      </c>
    </row>
    <row r="44" spans="1:7" ht="45" x14ac:dyDescent="0.25">
      <c r="A44" s="65">
        <v>7.06</v>
      </c>
      <c r="B44" s="66" t="s">
        <v>100</v>
      </c>
      <c r="C44" s="56" t="s">
        <v>20</v>
      </c>
      <c r="D44" s="59">
        <f>IF(C44="y",VLOOKUP(LUT!C45,LUT!$C$4:$E$52,3),IF(C44="n",VLOOKUP(LUT!C45,LUT!$C$4:$E$52,2)," "))</f>
        <v>1</v>
      </c>
      <c r="E44" s="57"/>
      <c r="F44" s="103" t="s">
        <v>95</v>
      </c>
      <c r="G44" s="56" t="s">
        <v>31</v>
      </c>
    </row>
    <row r="45" spans="1:7" ht="30" x14ac:dyDescent="0.25">
      <c r="A45" s="65">
        <v>7.07</v>
      </c>
      <c r="B45" s="66" t="s">
        <v>101</v>
      </c>
      <c r="C45" s="56" t="s">
        <v>11</v>
      </c>
      <c r="D45" s="59">
        <f>IF(C45="y",VLOOKUP(LUT!C46,LUT!$C$4:$E$52,3),IF(C45="n",VLOOKUP(LUT!C46,LUT!$C$4:$E$52,2)," "))</f>
        <v>-1</v>
      </c>
      <c r="E45" s="57"/>
      <c r="F45" s="108" t="s">
        <v>39</v>
      </c>
      <c r="G45" s="63"/>
    </row>
    <row r="46" spans="1:7" ht="45" x14ac:dyDescent="0.25">
      <c r="A46" s="65">
        <v>7.08</v>
      </c>
      <c r="B46" s="66" t="s">
        <v>102</v>
      </c>
      <c r="C46" s="56" t="s">
        <v>20</v>
      </c>
      <c r="D46" s="59">
        <f>IF(C46="y",VLOOKUP(LUT!C47,LUT!$C$4:$E$52,3),IF(C46="n",VLOOKUP(LUT!C47,LUT!$C$4:$E$52,2)," "))</f>
        <v>1</v>
      </c>
      <c r="E46" s="57"/>
      <c r="F46" s="108" t="s">
        <v>103</v>
      </c>
      <c r="G46" s="63" t="s">
        <v>31</v>
      </c>
    </row>
    <row r="47" spans="1:7" ht="105" x14ac:dyDescent="0.25">
      <c r="A47" s="65">
        <v>8.01</v>
      </c>
      <c r="B47" s="66" t="s">
        <v>104</v>
      </c>
      <c r="C47" s="56" t="s">
        <v>20</v>
      </c>
      <c r="D47" s="59">
        <f>IF(C47="y",VLOOKUP(LUT!C48,LUT!$C$4:$E$52,3),IF(C47="n",VLOOKUP(LUT!C48,LUT!$C$4:$E$52,2)," "))</f>
        <v>1</v>
      </c>
      <c r="E47" s="57"/>
      <c r="F47" s="108" t="s">
        <v>105</v>
      </c>
      <c r="G47" s="63" t="s">
        <v>84</v>
      </c>
    </row>
    <row r="48" spans="1:7" ht="60" x14ac:dyDescent="0.25">
      <c r="A48" s="65">
        <v>8.02</v>
      </c>
      <c r="B48" s="66" t="s">
        <v>106</v>
      </c>
      <c r="C48" s="56" t="s">
        <v>20</v>
      </c>
      <c r="D48" s="59">
        <f>IF(C48="y",VLOOKUP(LUT!C49,LUT!$C$4:$E$52,3),IF(C48="n",VLOOKUP(LUT!C49,LUT!$C$4:$E$52,2)," "))</f>
        <v>1</v>
      </c>
      <c r="E48" s="57"/>
      <c r="F48" s="108" t="s">
        <v>107</v>
      </c>
      <c r="G48" s="63" t="s">
        <v>61</v>
      </c>
    </row>
    <row r="49" spans="1:7" ht="225" x14ac:dyDescent="0.25">
      <c r="A49" s="65">
        <v>8.0299999999999994</v>
      </c>
      <c r="B49" s="66" t="s">
        <v>108</v>
      </c>
      <c r="C49" s="56" t="s">
        <v>20</v>
      </c>
      <c r="D49" s="59">
        <f>IF(C49="y",VLOOKUP(LUT!C50,LUT!$C$4:$E$52,3),IF(C49="n",VLOOKUP(LUT!C50,LUT!$C$4:$E$52,2)," "))</f>
        <v>-1</v>
      </c>
      <c r="E49" s="57"/>
      <c r="F49" s="108" t="s">
        <v>109</v>
      </c>
      <c r="G49" s="63" t="s">
        <v>110</v>
      </c>
    </row>
    <row r="50" spans="1:7" ht="90" x14ac:dyDescent="0.25">
      <c r="A50" s="65">
        <v>8.0399999999999991</v>
      </c>
      <c r="B50" s="66" t="s">
        <v>111</v>
      </c>
      <c r="C50" s="56" t="s">
        <v>20</v>
      </c>
      <c r="D50" s="59">
        <f>IF(C50="y",VLOOKUP(LUT!C51,LUT!$C$4:$E$52,3),IF(C50="n",VLOOKUP(LUT!C51,LUT!$C$4:$E$52,2)," "))</f>
        <v>1</v>
      </c>
      <c r="E50" s="57"/>
      <c r="F50" s="108" t="s">
        <v>112</v>
      </c>
      <c r="G50" s="63" t="s">
        <v>46</v>
      </c>
    </row>
    <row r="51" spans="1:7" ht="78.75" x14ac:dyDescent="0.25">
      <c r="A51" s="65">
        <v>8.0500000000000007</v>
      </c>
      <c r="B51" s="66" t="s">
        <v>113</v>
      </c>
      <c r="C51" s="56" t="s">
        <v>20</v>
      </c>
      <c r="D51" s="59">
        <f>IF(C51="y",VLOOKUP(LUT!C52,LUT!$C$4:$E$52,3),IF(C51="n",VLOOKUP(LUT!C52,LUT!$C$4:$E$52,2)," "))</f>
        <v>-1</v>
      </c>
      <c r="E51" s="57"/>
      <c r="F51" s="100" t="s">
        <v>114</v>
      </c>
      <c r="G51" s="63" t="s">
        <v>115</v>
      </c>
    </row>
    <row r="52" spans="1:7" x14ac:dyDescent="0.25">
      <c r="A52" s="86"/>
      <c r="B52" s="85"/>
      <c r="C52" s="56"/>
      <c r="D52" s="56"/>
      <c r="E52" s="57"/>
      <c r="F52" s="107"/>
      <c r="G52" s="56"/>
    </row>
    <row r="53" spans="1:7" ht="29.25" customHeight="1" x14ac:dyDescent="0.25">
      <c r="A53" s="56"/>
      <c r="B53" s="56"/>
      <c r="C53" s="68" t="s">
        <v>116</v>
      </c>
      <c r="D53" s="61">
        <f>SUM(D3:D51)</f>
        <v>28</v>
      </c>
      <c r="E53" s="62"/>
      <c r="F53" s="107"/>
      <c r="G53" s="56"/>
    </row>
    <row r="54" spans="1:7" ht="33" customHeight="1" thickBot="1" x14ac:dyDescent="0.3">
      <c r="A54" s="56"/>
      <c r="B54" s="56"/>
      <c r="C54" s="69" t="s">
        <v>117</v>
      </c>
      <c r="D54" s="21" t="str">
        <f>IF(E60="no","more info needed",IF(D53&lt;1,"accept",IF(D53&gt;6,"reject","evaluate further")))</f>
        <v>reject</v>
      </c>
      <c r="E54" s="62"/>
      <c r="F54" s="107"/>
      <c r="G54" s="56"/>
    </row>
    <row r="55" spans="1:7" x14ac:dyDescent="0.25">
      <c r="A55" s="56"/>
      <c r="B55" s="56"/>
      <c r="C55" s="56"/>
      <c r="D55" s="56"/>
      <c r="E55" s="57"/>
      <c r="F55" s="107"/>
      <c r="G55" s="56"/>
    </row>
    <row r="56" spans="1:7" ht="45" x14ac:dyDescent="0.25">
      <c r="A56" s="56"/>
      <c r="B56" s="22" t="s">
        <v>118</v>
      </c>
      <c r="C56" s="23" t="s">
        <v>119</v>
      </c>
      <c r="D56" s="19" t="s">
        <v>120</v>
      </c>
      <c r="E56" s="62"/>
      <c r="F56" s="109"/>
      <c r="G56" s="56"/>
    </row>
    <row r="57" spans="1:7" x14ac:dyDescent="0.25">
      <c r="A57" s="56"/>
      <c r="B57" s="28" t="s">
        <v>121</v>
      </c>
      <c r="C57" s="24">
        <f>COUNTIF(C3:C15, "y")+COUNTIF(C3:C15, "n")+COUNTIF(C6:C7, "1")+COUNTIF(C6:C7, "2")+COUNTIF(C6:C7, "3")</f>
        <v>11</v>
      </c>
      <c r="D57" s="20" t="str">
        <f>IF(C57&gt;=2,"yes","no")</f>
        <v>yes</v>
      </c>
      <c r="E57" s="62"/>
      <c r="F57" s="107"/>
      <c r="G57" s="56"/>
    </row>
    <row r="58" spans="1:7" x14ac:dyDescent="0.25">
      <c r="A58" s="56"/>
      <c r="B58" s="29" t="s">
        <v>122</v>
      </c>
      <c r="C58" s="24">
        <f>COUNTIF(C16:C27,"y")+COUNTIF(C16:C27,"n")</f>
        <v>11</v>
      </c>
      <c r="D58" s="20" t="str">
        <f>IF(C58&gt;=2,"yes","no")</f>
        <v>yes</v>
      </c>
      <c r="E58" s="62"/>
      <c r="F58" s="107"/>
      <c r="G58" s="56"/>
    </row>
    <row r="59" spans="1:7" x14ac:dyDescent="0.25">
      <c r="A59" s="56"/>
      <c r="B59" s="28" t="s">
        <v>123</v>
      </c>
      <c r="C59" s="24">
        <f>COUNTIF(C28:C51,"y")+COUNTIF(C28:C51, "n")+COUNT(C28:C51)</f>
        <v>22</v>
      </c>
      <c r="D59" s="20" t="str">
        <f>IF(C59&gt;=6,"yes","no")</f>
        <v>yes</v>
      </c>
      <c r="E59" s="62"/>
      <c r="F59" s="107"/>
      <c r="G59" s="56"/>
    </row>
    <row r="60" spans="1:7" x14ac:dyDescent="0.25">
      <c r="A60" s="56"/>
      <c r="B60" s="25" t="s">
        <v>124</v>
      </c>
      <c r="C60" s="26">
        <f>SUM(C57:C59)</f>
        <v>44</v>
      </c>
      <c r="D60" s="21" t="str">
        <f>IF(D57="no","no",IF(D58="no","no",IF(D59="no","no","yes")))</f>
        <v>yes</v>
      </c>
      <c r="E60" s="62"/>
      <c r="F60" s="107"/>
      <c r="G60" s="56"/>
    </row>
    <row r="61" spans="1:7" x14ac:dyDescent="0.25">
      <c r="A61" s="56"/>
      <c r="B61" s="56"/>
      <c r="C61" s="56"/>
      <c r="D61" s="56"/>
      <c r="E61" s="57"/>
      <c r="F61" s="107"/>
      <c r="G61" s="56"/>
    </row>
    <row r="62" spans="1:7" x14ac:dyDescent="0.25">
      <c r="A62" s="56"/>
      <c r="B62" s="56"/>
      <c r="C62" s="56"/>
      <c r="D62" s="56"/>
      <c r="E62" s="57"/>
      <c r="F62" s="107"/>
      <c r="G62" s="56"/>
    </row>
    <row r="63" spans="1:7" x14ac:dyDescent="0.25">
      <c r="A63" s="56"/>
      <c r="B63" s="114" t="s">
        <v>125</v>
      </c>
      <c r="C63" s="114"/>
      <c r="D63" s="114"/>
      <c r="E63" s="62"/>
      <c r="F63" s="107"/>
      <c r="G63" s="56"/>
    </row>
    <row r="64" spans="1:7" x14ac:dyDescent="0.25">
      <c r="A64" s="56"/>
      <c r="B64" s="115" t="s">
        <v>126</v>
      </c>
      <c r="C64" s="116"/>
      <c r="D64" s="117"/>
      <c r="E64" s="62"/>
      <c r="F64" s="107"/>
      <c r="G64" s="56"/>
    </row>
    <row r="65" spans="1:7" x14ac:dyDescent="0.25">
      <c r="A65" s="56">
        <v>9.01</v>
      </c>
      <c r="B65" s="70" t="s">
        <v>127</v>
      </c>
      <c r="C65" s="118"/>
      <c r="D65" s="119"/>
      <c r="E65" s="62"/>
      <c r="F65" s="107"/>
      <c r="G65" s="56"/>
    </row>
    <row r="66" spans="1:7" x14ac:dyDescent="0.25">
      <c r="A66" s="56">
        <v>9.02</v>
      </c>
      <c r="B66" s="70" t="s">
        <v>128</v>
      </c>
      <c r="C66" s="120"/>
      <c r="D66" s="121"/>
      <c r="E66" s="62"/>
      <c r="F66" s="107"/>
      <c r="G66" s="56"/>
    </row>
    <row r="67" spans="1:7" x14ac:dyDescent="0.25">
      <c r="A67" s="56">
        <v>9.0299999999999994</v>
      </c>
      <c r="B67" s="70" t="s">
        <v>129</v>
      </c>
      <c r="C67" s="112"/>
      <c r="D67" s="113"/>
      <c r="E67" s="62"/>
      <c r="F67" s="107"/>
      <c r="G67" s="56"/>
    </row>
    <row r="68" spans="1:7" x14ac:dyDescent="0.25">
      <c r="A68" s="56">
        <v>9.0399999999999991</v>
      </c>
      <c r="B68" s="70" t="s">
        <v>130</v>
      </c>
      <c r="C68" s="112"/>
      <c r="D68" s="113"/>
      <c r="E68" s="62"/>
      <c r="F68" s="107"/>
      <c r="G68" s="56"/>
    </row>
    <row r="69" spans="1:7" x14ac:dyDescent="0.25">
      <c r="A69" s="56">
        <v>9.0500000000000007</v>
      </c>
      <c r="B69" s="70" t="s">
        <v>131</v>
      </c>
      <c r="C69" s="112"/>
      <c r="D69" s="113"/>
      <c r="E69" s="62"/>
      <c r="F69" s="107"/>
      <c r="G69" s="56"/>
    </row>
    <row r="70" spans="1:7" x14ac:dyDescent="0.25">
      <c r="A70" s="56">
        <v>9.06</v>
      </c>
      <c r="B70" s="70" t="s">
        <v>132</v>
      </c>
      <c r="C70" s="112"/>
      <c r="D70" s="113"/>
      <c r="E70" s="62"/>
      <c r="F70" s="107"/>
      <c r="G70" s="56"/>
    </row>
    <row r="71" spans="1:7" x14ac:dyDescent="0.25">
      <c r="A71" s="56">
        <v>9.07</v>
      </c>
      <c r="B71" s="70" t="s">
        <v>133</v>
      </c>
      <c r="C71" s="93"/>
      <c r="D71" s="96" t="str">
        <f>IF(C71="yes", IF(OR(C65="?", C66="?", C67="no", C67="?"), "eval.", IF(AND(C65="yes", C66="yes", C67="yes"), "reject", IF(OR(C65="no", C66="no"), "accept", " ")))," ")</f>
        <v xml:space="preserve"> </v>
      </c>
      <c r="E71" s="62"/>
      <c r="F71" s="107"/>
      <c r="G71" s="56"/>
    </row>
    <row r="72" spans="1:7" x14ac:dyDescent="0.25">
      <c r="A72" s="56">
        <v>9.08</v>
      </c>
      <c r="B72" s="70" t="s">
        <v>134</v>
      </c>
      <c r="C72" s="91"/>
      <c r="D72" s="88" t="str">
        <f>IF(C71="yes","STOP",IF(C72="yes",IF(C68="no","accept",IF(AND(C68="yes",OR(C69="yes",C70="yes")),"reject",IF(OR(C68="?",C69="?",C70="?",C69="no",C70="no"),"eval.",""))), ""))</f>
        <v/>
      </c>
      <c r="E72" s="62"/>
      <c r="F72" s="107"/>
      <c r="G72" s="56"/>
    </row>
    <row r="73" spans="1:7" x14ac:dyDescent="0.25">
      <c r="A73" s="56">
        <v>9.09</v>
      </c>
      <c r="B73" s="90" t="s">
        <v>135</v>
      </c>
      <c r="C73" s="92"/>
      <c r="D73" s="89" t="str">
        <f>IF(OR(C71="yes",C72="yes"),"STOP",IF(C73="yes",IF(AND(LUT!I26="accept",LUT!I27="accept"),"accept",IF(AND(LUT!I26="eval.",LUT!I27="eval."),"eval.",IF(OR(LUT!I26="reject",LUT!I27="reject"),"reject",""))),""))</f>
        <v/>
      </c>
      <c r="E73" s="62"/>
      <c r="F73" s="107"/>
      <c r="G73" s="56"/>
    </row>
    <row r="74" spans="1:7" x14ac:dyDescent="0.25">
      <c r="A74" s="56"/>
      <c r="B74" s="71" t="s">
        <v>136</v>
      </c>
      <c r="C74" s="110" t="str">
        <f>IF(OR(D71="accept", D72="accept", D73="accept"), "Accept", IF(OR(D71="eval.", D72="eval.", D73="eval."), "Evaluate Further", IF(OR(D71="reject", D72="reject",D73="reject"), "Reject", "")))</f>
        <v/>
      </c>
      <c r="D74" s="111"/>
      <c r="E74" s="62"/>
      <c r="F74" s="107"/>
      <c r="G74" s="56"/>
    </row>
    <row r="75" spans="1:7" x14ac:dyDescent="0.25">
      <c r="A75" s="56"/>
      <c r="B75" s="63"/>
      <c r="C75" s="63"/>
      <c r="D75" s="56"/>
      <c r="E75" s="57"/>
      <c r="F75" s="107"/>
      <c r="G75" s="56"/>
    </row>
    <row r="76" spans="1:7" x14ac:dyDescent="0.25">
      <c r="A76" s="56"/>
      <c r="B76" s="63"/>
      <c r="C76" s="63"/>
      <c r="D76" s="56"/>
      <c r="E76" s="57"/>
      <c r="F76" s="107"/>
      <c r="G76" s="56"/>
    </row>
    <row r="77" spans="1:7" x14ac:dyDescent="0.25">
      <c r="A77" s="56"/>
      <c r="B77" s="63"/>
      <c r="C77" s="63"/>
      <c r="D77" s="56"/>
      <c r="E77" s="57"/>
      <c r="F77" s="107"/>
      <c r="G77" s="56"/>
    </row>
    <row r="78" spans="1:7" x14ac:dyDescent="0.25">
      <c r="A78" s="56"/>
      <c r="B78" s="63"/>
      <c r="C78" s="63"/>
      <c r="D78" s="56"/>
      <c r="E78" s="57"/>
      <c r="F78" s="107"/>
      <c r="G78" s="56"/>
    </row>
    <row r="79" spans="1:7" x14ac:dyDescent="0.25">
      <c r="A79" s="56"/>
      <c r="B79" s="63"/>
      <c r="C79" s="63"/>
      <c r="D79" s="56"/>
      <c r="E79" s="57"/>
      <c r="F79" s="107"/>
      <c r="G79" s="56"/>
    </row>
    <row r="80" spans="1:7" x14ac:dyDescent="0.25">
      <c r="A80" s="56"/>
      <c r="B80" s="63"/>
      <c r="C80" s="63"/>
      <c r="D80" s="56"/>
      <c r="E80" s="57"/>
      <c r="F80" s="107"/>
      <c r="G80" s="56"/>
    </row>
    <row r="81" spans="1:7" x14ac:dyDescent="0.25">
      <c r="A81" s="56"/>
      <c r="B81" s="63"/>
      <c r="C81" s="63"/>
      <c r="D81" s="56"/>
      <c r="E81" s="57"/>
      <c r="F81" s="107"/>
      <c r="G81" s="56"/>
    </row>
    <row r="82" spans="1:7" x14ac:dyDescent="0.25">
      <c r="A82" s="56"/>
      <c r="B82" s="63"/>
      <c r="C82" s="63"/>
      <c r="D82" s="56"/>
      <c r="E82" s="57"/>
      <c r="F82" s="107"/>
      <c r="G82" s="56"/>
    </row>
    <row r="83" spans="1:7" x14ac:dyDescent="0.25">
      <c r="A83" s="56"/>
      <c r="B83" s="63"/>
      <c r="C83" s="63"/>
      <c r="D83" s="56"/>
      <c r="E83" s="57"/>
      <c r="F83" s="107"/>
      <c r="G83" s="56"/>
    </row>
    <row r="84" spans="1:7" x14ac:dyDescent="0.25">
      <c r="A84" s="56"/>
      <c r="B84" s="63"/>
      <c r="C84" s="63"/>
      <c r="D84" s="56"/>
      <c r="E84" s="57"/>
      <c r="F84" s="107"/>
      <c r="G84" s="56"/>
    </row>
    <row r="85" spans="1:7" x14ac:dyDescent="0.25">
      <c r="A85" s="56"/>
      <c r="B85" s="63"/>
      <c r="C85" s="63"/>
      <c r="D85" s="56"/>
      <c r="E85" s="57"/>
      <c r="F85" s="107"/>
      <c r="G85" s="56"/>
    </row>
    <row r="86" spans="1:7" x14ac:dyDescent="0.25">
      <c r="A86" s="56"/>
      <c r="B86" s="56"/>
      <c r="C86" s="56"/>
      <c r="D86" s="56"/>
      <c r="E86" s="57"/>
      <c r="F86" s="107"/>
      <c r="G86" s="56"/>
    </row>
    <row r="107" spans="6:6" x14ac:dyDescent="0.25">
      <c r="F107" s="107"/>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x14ac:dyDescent="0.25"/>
  <cols>
    <col min="1" max="1" width="6.85546875" customWidth="1"/>
    <col min="8" max="8" width="18.28515625" customWidth="1"/>
  </cols>
  <sheetData>
    <row r="1" spans="2:18" ht="15.75" thickBot="1" x14ac:dyDescent="0.3"/>
    <row r="2" spans="2:18" ht="15.75" thickBot="1" x14ac:dyDescent="0.3">
      <c r="B2" t="s">
        <v>137</v>
      </c>
      <c r="H2" s="122" t="s">
        <v>138</v>
      </c>
      <c r="I2" s="123"/>
      <c r="J2" s="123"/>
      <c r="K2" s="123"/>
      <c r="L2" s="123"/>
      <c r="M2" s="123"/>
      <c r="N2" s="123"/>
      <c r="O2" s="123"/>
      <c r="P2" s="123"/>
      <c r="Q2" s="123"/>
      <c r="R2" s="124"/>
    </row>
    <row r="3" spans="2:18" x14ac:dyDescent="0.25">
      <c r="B3" s="1" t="s">
        <v>118</v>
      </c>
      <c r="C3" s="2" t="s">
        <v>4</v>
      </c>
      <c r="D3" s="2" t="s">
        <v>139</v>
      </c>
      <c r="E3" s="3" t="s">
        <v>140</v>
      </c>
      <c r="H3" s="144" t="s">
        <v>141</v>
      </c>
      <c r="I3" s="145"/>
      <c r="J3" s="145"/>
      <c r="K3" s="145"/>
      <c r="L3" s="145"/>
      <c r="M3" s="145"/>
      <c r="N3" s="145"/>
      <c r="O3" s="145"/>
      <c r="P3" s="145"/>
      <c r="Q3" s="145"/>
      <c r="R3" s="146"/>
    </row>
    <row r="4" spans="2:18" x14ac:dyDescent="0.25">
      <c r="B4" s="4" t="s">
        <v>142</v>
      </c>
      <c r="C4">
        <v>1.01</v>
      </c>
      <c r="D4">
        <v>0</v>
      </c>
      <c r="E4" s="5">
        <v>-3</v>
      </c>
      <c r="H4" s="147" t="s">
        <v>143</v>
      </c>
      <c r="I4" s="148"/>
      <c r="J4" s="148"/>
      <c r="K4" s="148"/>
      <c r="L4" s="148"/>
      <c r="M4" s="148"/>
      <c r="N4" s="148"/>
      <c r="O4" s="148"/>
      <c r="P4" s="148"/>
      <c r="Q4" s="148"/>
      <c r="R4" s="16" t="s">
        <v>144</v>
      </c>
    </row>
    <row r="5" spans="2:18" x14ac:dyDescent="0.25">
      <c r="B5" s="4" t="s">
        <v>123</v>
      </c>
      <c r="C5">
        <v>1.02</v>
      </c>
      <c r="D5">
        <v>-1</v>
      </c>
      <c r="E5" s="5">
        <v>1</v>
      </c>
      <c r="H5" s="147" t="s">
        <v>145</v>
      </c>
      <c r="I5" s="10">
        <v>2.0099999999999998</v>
      </c>
      <c r="J5" s="10">
        <v>1</v>
      </c>
      <c r="K5" s="10">
        <v>1</v>
      </c>
      <c r="L5" s="10">
        <v>1</v>
      </c>
      <c r="M5" s="10">
        <v>2</v>
      </c>
      <c r="N5" s="10">
        <v>2</v>
      </c>
      <c r="O5" s="10">
        <v>2</v>
      </c>
      <c r="P5" s="10">
        <v>3</v>
      </c>
      <c r="Q5" s="10">
        <v>3</v>
      </c>
      <c r="R5" s="11">
        <v>3</v>
      </c>
    </row>
    <row r="6" spans="2:18" x14ac:dyDescent="0.25">
      <c r="B6" s="4" t="s">
        <v>123</v>
      </c>
      <c r="C6">
        <v>1.03</v>
      </c>
      <c r="D6">
        <v>-1</v>
      </c>
      <c r="E6" s="5">
        <v>1</v>
      </c>
      <c r="H6" s="147"/>
      <c r="I6" s="10">
        <v>2.02</v>
      </c>
      <c r="J6" s="10">
        <v>1</v>
      </c>
      <c r="K6" s="10">
        <v>2</v>
      </c>
      <c r="L6" s="10">
        <v>3</v>
      </c>
      <c r="M6" s="10">
        <v>1</v>
      </c>
      <c r="N6" s="10">
        <v>2</v>
      </c>
      <c r="O6" s="10">
        <v>3</v>
      </c>
      <c r="P6" s="10">
        <v>1</v>
      </c>
      <c r="Q6" s="10">
        <v>2</v>
      </c>
      <c r="R6" s="11">
        <v>3</v>
      </c>
    </row>
    <row r="7" spans="2:18" x14ac:dyDescent="0.25">
      <c r="B7" s="4"/>
      <c r="C7">
        <v>2.0099999999999998</v>
      </c>
      <c r="D7" s="132" t="s">
        <v>146</v>
      </c>
      <c r="E7" s="133"/>
      <c r="H7" s="127" t="s">
        <v>147</v>
      </c>
      <c r="I7" s="10">
        <v>3.01</v>
      </c>
      <c r="J7" s="10">
        <v>2</v>
      </c>
      <c r="K7" s="10">
        <v>1</v>
      </c>
      <c r="L7" s="10">
        <v>1</v>
      </c>
      <c r="M7" s="10">
        <v>2</v>
      </c>
      <c r="N7" s="10">
        <v>2</v>
      </c>
      <c r="O7" s="10">
        <v>1</v>
      </c>
      <c r="P7" s="10">
        <v>2</v>
      </c>
      <c r="Q7" s="10">
        <v>2</v>
      </c>
      <c r="R7" s="11">
        <v>2</v>
      </c>
    </row>
    <row r="8" spans="2:18" x14ac:dyDescent="0.25">
      <c r="B8" s="4"/>
      <c r="C8">
        <v>2.02</v>
      </c>
      <c r="D8" s="134"/>
      <c r="E8" s="135"/>
      <c r="H8" s="127"/>
      <c r="I8" s="10">
        <v>3.02</v>
      </c>
      <c r="J8" s="10">
        <v>2</v>
      </c>
      <c r="K8" s="10">
        <v>1</v>
      </c>
      <c r="L8" s="10">
        <v>1</v>
      </c>
      <c r="M8" s="10">
        <v>2</v>
      </c>
      <c r="N8" s="10">
        <v>2</v>
      </c>
      <c r="O8" s="10">
        <v>1</v>
      </c>
      <c r="P8" s="10">
        <v>2</v>
      </c>
      <c r="Q8" s="10">
        <v>2</v>
      </c>
      <c r="R8" s="11">
        <v>2</v>
      </c>
    </row>
    <row r="9" spans="2:18" x14ac:dyDescent="0.25">
      <c r="B9" s="4" t="s">
        <v>123</v>
      </c>
      <c r="C9">
        <v>2.0299999999999998</v>
      </c>
      <c r="D9">
        <v>0</v>
      </c>
      <c r="E9" s="5">
        <v>1</v>
      </c>
      <c r="H9" s="127"/>
      <c r="I9" s="10">
        <v>3.03</v>
      </c>
      <c r="J9" s="10">
        <v>4</v>
      </c>
      <c r="K9" s="10">
        <v>2</v>
      </c>
      <c r="L9" s="10">
        <v>1</v>
      </c>
      <c r="M9" s="10">
        <v>4</v>
      </c>
      <c r="N9" s="10">
        <v>3</v>
      </c>
      <c r="O9" s="10">
        <v>2</v>
      </c>
      <c r="P9" s="10">
        <v>4</v>
      </c>
      <c r="Q9" s="10">
        <v>4</v>
      </c>
      <c r="R9" s="11">
        <v>4</v>
      </c>
    </row>
    <row r="10" spans="2:18" x14ac:dyDescent="0.25">
      <c r="B10" s="4" t="s">
        <v>123</v>
      </c>
      <c r="C10">
        <v>2.04</v>
      </c>
      <c r="D10">
        <v>0</v>
      </c>
      <c r="E10" s="5">
        <v>1</v>
      </c>
      <c r="H10" s="127"/>
      <c r="I10" s="10">
        <v>3.04</v>
      </c>
      <c r="J10" s="10">
        <v>4</v>
      </c>
      <c r="K10" s="10">
        <v>2</v>
      </c>
      <c r="L10" s="10">
        <v>1</v>
      </c>
      <c r="M10" s="10">
        <v>4</v>
      </c>
      <c r="N10" s="10">
        <v>3</v>
      </c>
      <c r="O10" s="10">
        <v>2</v>
      </c>
      <c r="P10" s="10">
        <v>4</v>
      </c>
      <c r="Q10" s="10">
        <v>4</v>
      </c>
      <c r="R10" s="11">
        <v>4</v>
      </c>
    </row>
    <row r="11" spans="2:18" x14ac:dyDescent="0.25">
      <c r="B11" s="4"/>
      <c r="C11">
        <v>2.0499999999999998</v>
      </c>
      <c r="E11" s="5"/>
      <c r="H11" s="127"/>
      <c r="I11" s="10">
        <v>3.05</v>
      </c>
      <c r="J11" s="10">
        <v>2</v>
      </c>
      <c r="K11" s="10">
        <v>1</v>
      </c>
      <c r="L11" s="10">
        <v>1</v>
      </c>
      <c r="M11" s="10">
        <v>2</v>
      </c>
      <c r="N11" s="10">
        <v>2</v>
      </c>
      <c r="O11" s="10">
        <v>1</v>
      </c>
      <c r="P11" s="10">
        <v>2</v>
      </c>
      <c r="Q11" s="10">
        <v>2</v>
      </c>
      <c r="R11" s="11">
        <v>2</v>
      </c>
    </row>
    <row r="12" spans="2:18" x14ac:dyDescent="0.25">
      <c r="B12" s="4" t="s">
        <v>123</v>
      </c>
      <c r="C12">
        <v>3.01</v>
      </c>
      <c r="D12" s="136" t="s">
        <v>148</v>
      </c>
      <c r="E12" s="137"/>
      <c r="H12" s="125" t="s">
        <v>149</v>
      </c>
      <c r="I12" s="126"/>
      <c r="J12" s="126"/>
      <c r="K12" s="126"/>
      <c r="L12" s="126"/>
      <c r="M12" s="126"/>
      <c r="N12" s="126"/>
      <c r="O12" s="126"/>
      <c r="P12" s="126"/>
      <c r="Q12" s="126"/>
      <c r="R12" s="129"/>
    </row>
    <row r="13" spans="2:18" x14ac:dyDescent="0.25">
      <c r="B13" s="4" t="s">
        <v>150</v>
      </c>
      <c r="C13">
        <v>3.02</v>
      </c>
      <c r="D13" s="138"/>
      <c r="E13" s="139"/>
      <c r="H13" s="4" t="s">
        <v>151</v>
      </c>
      <c r="I13" s="10">
        <v>2.0499999999999998</v>
      </c>
      <c r="J13" s="10" t="s">
        <v>48</v>
      </c>
      <c r="K13" s="10" t="s">
        <v>152</v>
      </c>
      <c r="L13" s="10" t="s">
        <v>153</v>
      </c>
      <c r="M13" s="126"/>
      <c r="N13" s="126"/>
      <c r="O13" s="126"/>
      <c r="P13" s="126"/>
      <c r="Q13" s="126"/>
      <c r="R13" s="129"/>
    </row>
    <row r="14" spans="2:18" x14ac:dyDescent="0.25">
      <c r="B14" s="4" t="s">
        <v>121</v>
      </c>
      <c r="C14">
        <v>3.03</v>
      </c>
      <c r="D14" s="138"/>
      <c r="E14" s="139"/>
      <c r="H14" s="127" t="s">
        <v>147</v>
      </c>
      <c r="I14" s="10">
        <v>3.01</v>
      </c>
      <c r="J14" s="10">
        <v>-1</v>
      </c>
      <c r="K14" s="10">
        <v>0</v>
      </c>
      <c r="L14" s="10">
        <v>-2</v>
      </c>
      <c r="M14" s="126"/>
      <c r="N14" s="126"/>
      <c r="O14" s="126"/>
      <c r="P14" s="126"/>
      <c r="Q14" s="126"/>
      <c r="R14" s="129"/>
    </row>
    <row r="15" spans="2:18" ht="15.75" thickBot="1" x14ac:dyDescent="0.3">
      <c r="B15" s="4" t="s">
        <v>150</v>
      </c>
      <c r="C15">
        <v>3.04</v>
      </c>
      <c r="D15" s="138"/>
      <c r="E15" s="139"/>
      <c r="H15" s="128"/>
      <c r="I15" s="13" t="s">
        <v>154</v>
      </c>
      <c r="J15" s="13">
        <v>0</v>
      </c>
      <c r="K15" s="13">
        <v>0</v>
      </c>
      <c r="L15" s="13">
        <v>0</v>
      </c>
      <c r="M15" s="130"/>
      <c r="N15" s="130"/>
      <c r="O15" s="130"/>
      <c r="P15" s="130"/>
      <c r="Q15" s="130"/>
      <c r="R15" s="131"/>
    </row>
    <row r="16" spans="2:18" x14ac:dyDescent="0.25">
      <c r="B16" s="4" t="s">
        <v>123</v>
      </c>
      <c r="C16">
        <v>3.05</v>
      </c>
      <c r="D16" s="140"/>
      <c r="E16" s="141"/>
    </row>
    <row r="17" spans="2:11" x14ac:dyDescent="0.25">
      <c r="B17" s="4" t="s">
        <v>155</v>
      </c>
      <c r="C17">
        <v>4.01</v>
      </c>
      <c r="D17">
        <v>0</v>
      </c>
      <c r="E17" s="5">
        <v>1</v>
      </c>
    </row>
    <row r="18" spans="2:11" ht="15.75" thickBot="1" x14ac:dyDescent="0.3">
      <c r="B18" s="4" t="s">
        <v>123</v>
      </c>
      <c r="C18">
        <v>4.0199999999999996</v>
      </c>
      <c r="D18">
        <v>0</v>
      </c>
      <c r="E18" s="5">
        <v>1</v>
      </c>
    </row>
    <row r="19" spans="2:11" x14ac:dyDescent="0.25">
      <c r="B19" s="4" t="s">
        <v>123</v>
      </c>
      <c r="C19">
        <v>4.03</v>
      </c>
      <c r="D19">
        <v>0</v>
      </c>
      <c r="E19" s="5">
        <v>1</v>
      </c>
      <c r="H19" s="122" t="s">
        <v>156</v>
      </c>
      <c r="I19" s="123"/>
      <c r="J19" s="123"/>
      <c r="K19" s="124"/>
    </row>
    <row r="20" spans="2:11" x14ac:dyDescent="0.25">
      <c r="B20" s="4" t="s">
        <v>121</v>
      </c>
      <c r="C20">
        <v>4.04</v>
      </c>
      <c r="D20">
        <v>-1</v>
      </c>
      <c r="E20" s="5">
        <v>1</v>
      </c>
      <c r="H20" s="4" t="s">
        <v>157</v>
      </c>
      <c r="I20" s="12">
        <v>1</v>
      </c>
      <c r="J20" s="12">
        <v>2</v>
      </c>
      <c r="K20" s="9">
        <v>4</v>
      </c>
    </row>
    <row r="21" spans="2:11" ht="15.75" thickBot="1" x14ac:dyDescent="0.3">
      <c r="B21" s="4" t="s">
        <v>123</v>
      </c>
      <c r="C21">
        <v>4.05</v>
      </c>
      <c r="D21">
        <v>0</v>
      </c>
      <c r="E21" s="5">
        <v>1</v>
      </c>
      <c r="H21" s="6" t="s">
        <v>6</v>
      </c>
      <c r="I21" s="14">
        <v>1</v>
      </c>
      <c r="J21" s="14">
        <v>0</v>
      </c>
      <c r="K21" s="15">
        <v>-1</v>
      </c>
    </row>
    <row r="22" spans="2:11" x14ac:dyDescent="0.25">
      <c r="B22" s="4" t="s">
        <v>123</v>
      </c>
      <c r="C22">
        <v>4.0599999999999996</v>
      </c>
      <c r="D22">
        <v>0</v>
      </c>
      <c r="E22" s="5">
        <v>1</v>
      </c>
    </row>
    <row r="23" spans="2:11" x14ac:dyDescent="0.25">
      <c r="B23" s="4" t="s">
        <v>123</v>
      </c>
      <c r="C23">
        <v>4.07</v>
      </c>
      <c r="D23">
        <v>0</v>
      </c>
      <c r="E23" s="5">
        <v>1</v>
      </c>
    </row>
    <row r="24" spans="2:11" ht="15.75" thickBot="1" x14ac:dyDescent="0.3">
      <c r="B24" s="4" t="s">
        <v>150</v>
      </c>
      <c r="C24">
        <v>4.08</v>
      </c>
      <c r="D24">
        <v>0</v>
      </c>
      <c r="E24" s="5">
        <v>1</v>
      </c>
    </row>
    <row r="25" spans="2:11" x14ac:dyDescent="0.25">
      <c r="B25" s="4" t="s">
        <v>150</v>
      </c>
      <c r="C25">
        <v>4.09</v>
      </c>
      <c r="D25">
        <v>0</v>
      </c>
      <c r="E25" s="5">
        <v>1</v>
      </c>
      <c r="H25" s="149" t="s">
        <v>158</v>
      </c>
      <c r="I25" s="150"/>
      <c r="J25" s="150"/>
      <c r="K25" s="151"/>
    </row>
    <row r="26" spans="2:11" x14ac:dyDescent="0.25">
      <c r="B26" s="4" t="s">
        <v>150</v>
      </c>
      <c r="C26">
        <v>4.0999999999999996</v>
      </c>
      <c r="D26">
        <v>0</v>
      </c>
      <c r="E26" s="5">
        <v>1</v>
      </c>
      <c r="H26" s="94" t="s">
        <v>159</v>
      </c>
      <c r="I26" s="152" t="str">
        <f>IF(OR('WRA Worksheet'!C65="?",'WRA Worksheet'!C66="?",'WRA Worksheet'!C67="?",'WRA Worksheet'!C67="no"),"eval.",IF(AND('WRA Worksheet'!C65="yes",'WRA Worksheet'!C66="yes",'WRA Worksheet'!C67="yes"),"reject",IF(OR('WRA Worksheet'!C65="no",'WRA Worksheet'!C66="no"),"accept","")))</f>
        <v/>
      </c>
      <c r="J26" s="152"/>
      <c r="K26" s="153"/>
    </row>
    <row r="27" spans="2:11" ht="15.75" thickBot="1" x14ac:dyDescent="0.3">
      <c r="B27" s="4" t="s">
        <v>150</v>
      </c>
      <c r="C27">
        <v>4.1100000000000003</v>
      </c>
      <c r="D27">
        <v>0</v>
      </c>
      <c r="E27" s="5">
        <v>1</v>
      </c>
      <c r="H27" s="95" t="s">
        <v>160</v>
      </c>
      <c r="I27" s="154" t="str">
        <f>IF('WRA Worksheet'!C68="no","accept",IF(AND('WRA Worksheet'!C68="yes",OR('WRA Worksheet'!C69="yes",'WRA Worksheet'!C70="yes")),"reject",IF(OR('WRA Worksheet'!C68="?",'WRA Worksheet'!C69="?",'WRA Worksheet'!C70="?",'WRA Worksheet'!C69="no",'WRA Worksheet'!C70="no"),"eval.","")))</f>
        <v/>
      </c>
      <c r="J27" s="154"/>
      <c r="K27" s="155"/>
    </row>
    <row r="28" spans="2:11" x14ac:dyDescent="0.25">
      <c r="B28" s="4" t="s">
        <v>123</v>
      </c>
      <c r="C28">
        <v>4.12</v>
      </c>
      <c r="D28">
        <v>0</v>
      </c>
      <c r="E28" s="5">
        <v>1</v>
      </c>
    </row>
    <row r="29" spans="2:11" x14ac:dyDescent="0.25">
      <c r="B29" s="4" t="s">
        <v>161</v>
      </c>
      <c r="C29">
        <v>5.01</v>
      </c>
      <c r="D29">
        <v>0</v>
      </c>
      <c r="E29" s="5">
        <v>5</v>
      </c>
    </row>
    <row r="30" spans="2:11" x14ac:dyDescent="0.25">
      <c r="B30" s="4" t="s">
        <v>123</v>
      </c>
      <c r="C30">
        <v>5.0199999999999996</v>
      </c>
      <c r="D30">
        <v>0</v>
      </c>
      <c r="E30" s="5">
        <v>1</v>
      </c>
    </row>
    <row r="31" spans="2:11" x14ac:dyDescent="0.25">
      <c r="B31" s="4" t="s">
        <v>150</v>
      </c>
      <c r="C31">
        <v>5.03</v>
      </c>
      <c r="D31">
        <v>0</v>
      </c>
      <c r="E31" s="5">
        <v>1</v>
      </c>
    </row>
    <row r="32" spans="2:11" x14ac:dyDescent="0.25">
      <c r="B32" s="4" t="s">
        <v>123</v>
      </c>
      <c r="C32">
        <v>5.04</v>
      </c>
      <c r="D32">
        <v>0</v>
      </c>
      <c r="E32" s="5">
        <v>1</v>
      </c>
    </row>
    <row r="33" spans="2:5" x14ac:dyDescent="0.25">
      <c r="B33" s="4" t="s">
        <v>123</v>
      </c>
      <c r="C33">
        <v>6.01</v>
      </c>
      <c r="D33">
        <v>0</v>
      </c>
      <c r="E33" s="5">
        <v>1</v>
      </c>
    </row>
    <row r="34" spans="2:5" x14ac:dyDescent="0.25">
      <c r="B34" s="4" t="s">
        <v>123</v>
      </c>
      <c r="C34">
        <v>6.02</v>
      </c>
      <c r="D34">
        <v>-1</v>
      </c>
      <c r="E34" s="5">
        <v>1</v>
      </c>
    </row>
    <row r="35" spans="2:5" x14ac:dyDescent="0.25">
      <c r="B35" s="4" t="s">
        <v>121</v>
      </c>
      <c r="C35">
        <v>6.03</v>
      </c>
      <c r="D35">
        <v>-1</v>
      </c>
      <c r="E35" s="5">
        <v>1</v>
      </c>
    </row>
    <row r="36" spans="2:5" x14ac:dyDescent="0.25">
      <c r="B36" s="4" t="s">
        <v>123</v>
      </c>
      <c r="C36">
        <v>6.04</v>
      </c>
      <c r="D36">
        <v>-1</v>
      </c>
      <c r="E36" s="5">
        <v>1</v>
      </c>
    </row>
    <row r="37" spans="2:5" x14ac:dyDescent="0.25">
      <c r="B37" s="4" t="s">
        <v>123</v>
      </c>
      <c r="C37">
        <v>6.05</v>
      </c>
      <c r="D37">
        <v>0</v>
      </c>
      <c r="E37" s="5">
        <v>-1</v>
      </c>
    </row>
    <row r="38" spans="2:5" x14ac:dyDescent="0.25">
      <c r="B38" s="4" t="s">
        <v>121</v>
      </c>
      <c r="C38">
        <v>6.06</v>
      </c>
      <c r="D38">
        <v>-1</v>
      </c>
      <c r="E38" s="5">
        <v>1</v>
      </c>
    </row>
    <row r="39" spans="2:5" x14ac:dyDescent="0.25">
      <c r="B39" s="4" t="s">
        <v>123</v>
      </c>
      <c r="C39">
        <v>6.07</v>
      </c>
      <c r="D39" s="142" t="s">
        <v>162</v>
      </c>
      <c r="E39" s="143"/>
    </row>
    <row r="40" spans="2:5" x14ac:dyDescent="0.25">
      <c r="B40" s="4" t="s">
        <v>121</v>
      </c>
      <c r="C40">
        <v>7.01</v>
      </c>
      <c r="D40">
        <v>-1</v>
      </c>
      <c r="E40" s="5">
        <v>1</v>
      </c>
    </row>
    <row r="41" spans="2:5" x14ac:dyDescent="0.25">
      <c r="B41" s="4" t="s">
        <v>123</v>
      </c>
      <c r="C41">
        <v>7.02</v>
      </c>
      <c r="D41">
        <v>-1</v>
      </c>
      <c r="E41" s="5">
        <v>1</v>
      </c>
    </row>
    <row r="42" spans="2:5" x14ac:dyDescent="0.25">
      <c r="B42" s="4" t="s">
        <v>121</v>
      </c>
      <c r="C42">
        <v>7.03</v>
      </c>
      <c r="D42">
        <v>-1</v>
      </c>
      <c r="E42" s="5">
        <v>1</v>
      </c>
    </row>
    <row r="43" spans="2:5" x14ac:dyDescent="0.25">
      <c r="B43" s="4" t="s">
        <v>123</v>
      </c>
      <c r="C43">
        <v>7.04</v>
      </c>
      <c r="D43">
        <v>-1</v>
      </c>
      <c r="E43" s="5">
        <v>1</v>
      </c>
    </row>
    <row r="44" spans="2:5" x14ac:dyDescent="0.25">
      <c r="B44" s="4" t="s">
        <v>150</v>
      </c>
      <c r="C44">
        <v>7.05</v>
      </c>
      <c r="D44">
        <v>-1</v>
      </c>
      <c r="E44" s="5">
        <v>1</v>
      </c>
    </row>
    <row r="45" spans="2:5" x14ac:dyDescent="0.25">
      <c r="B45" s="4" t="s">
        <v>150</v>
      </c>
      <c r="C45">
        <v>7.06</v>
      </c>
      <c r="D45">
        <v>-1</v>
      </c>
      <c r="E45" s="5">
        <v>1</v>
      </c>
    </row>
    <row r="46" spans="2:5" x14ac:dyDescent="0.25">
      <c r="B46" s="4" t="s">
        <v>123</v>
      </c>
      <c r="C46">
        <v>7.07</v>
      </c>
      <c r="D46">
        <v>-1</v>
      </c>
      <c r="E46" s="5">
        <v>1</v>
      </c>
    </row>
    <row r="47" spans="2:5" x14ac:dyDescent="0.25">
      <c r="B47" s="4" t="s">
        <v>123</v>
      </c>
      <c r="C47">
        <v>7.08</v>
      </c>
      <c r="D47">
        <v>-1</v>
      </c>
      <c r="E47" s="5">
        <v>1</v>
      </c>
    </row>
    <row r="48" spans="2:5" x14ac:dyDescent="0.25">
      <c r="B48" s="4" t="s">
        <v>123</v>
      </c>
      <c r="C48">
        <v>8.01</v>
      </c>
      <c r="D48">
        <v>-1</v>
      </c>
      <c r="E48" s="5">
        <v>1</v>
      </c>
    </row>
    <row r="49" spans="2:5" x14ac:dyDescent="0.25">
      <c r="B49" s="4" t="s">
        <v>123</v>
      </c>
      <c r="C49">
        <v>8.02</v>
      </c>
      <c r="D49">
        <v>-1</v>
      </c>
      <c r="E49" s="5">
        <v>1</v>
      </c>
    </row>
    <row r="50" spans="2:5" x14ac:dyDescent="0.25">
      <c r="B50" s="4" t="s">
        <v>121</v>
      </c>
      <c r="C50">
        <v>8.0299999999999994</v>
      </c>
      <c r="D50">
        <v>1</v>
      </c>
      <c r="E50" s="5">
        <v>-1</v>
      </c>
    </row>
    <row r="51" spans="2:5" x14ac:dyDescent="0.25">
      <c r="B51" s="4" t="s">
        <v>121</v>
      </c>
      <c r="C51">
        <v>8.0399999999999991</v>
      </c>
      <c r="D51">
        <v>-1</v>
      </c>
      <c r="E51" s="5">
        <v>1</v>
      </c>
    </row>
    <row r="52" spans="2:5" x14ac:dyDescent="0.25">
      <c r="B52" s="4" t="s">
        <v>123</v>
      </c>
      <c r="C52">
        <v>8.0500000000000007</v>
      </c>
      <c r="D52">
        <v>1</v>
      </c>
      <c r="E52" s="5">
        <v>-1</v>
      </c>
    </row>
    <row r="53" spans="2:5" x14ac:dyDescent="0.25">
      <c r="B53" s="4"/>
      <c r="E53" s="5"/>
    </row>
    <row r="54" spans="2:5" ht="15.75" thickBot="1" x14ac:dyDescent="0.3">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x14ac:dyDescent="0.25"/>
  <cols>
    <col min="1" max="1" width="7.140625" customWidth="1"/>
    <col min="2" max="2" width="64.42578125" customWidth="1"/>
  </cols>
  <sheetData>
    <row r="1" spans="1:4" ht="109.5" customHeight="1" x14ac:dyDescent="0.25">
      <c r="A1" s="159" t="str">
        <f>'WRA Worksheet'!F1</f>
        <v>Assessment date: 30 June 2025 Prepared by Cameron Deelstra</v>
      </c>
      <c r="B1" s="160"/>
      <c r="C1" s="160"/>
      <c r="D1" s="97" t="s">
        <v>163</v>
      </c>
    </row>
    <row r="2" spans="1:4" ht="18.75" x14ac:dyDescent="0.25">
      <c r="A2" s="156" t="s">
        <v>164</v>
      </c>
      <c r="B2" s="157"/>
      <c r="C2" s="72" t="s">
        <v>5</v>
      </c>
      <c r="D2" s="72" t="s">
        <v>6</v>
      </c>
    </row>
    <row r="3" spans="1:4" x14ac:dyDescent="0.25">
      <c r="A3" s="73">
        <v>1.01</v>
      </c>
      <c r="B3" s="74" t="s">
        <v>10</v>
      </c>
      <c r="C3" s="75" t="str">
        <f>'WRA Worksheet'!C3</f>
        <v>n</v>
      </c>
      <c r="D3" s="81">
        <f>'WRA Worksheet'!D3</f>
        <v>0</v>
      </c>
    </row>
    <row r="4" spans="1:4" x14ac:dyDescent="0.25">
      <c r="A4" s="73">
        <v>1.02</v>
      </c>
      <c r="B4" s="74" t="s">
        <v>13</v>
      </c>
      <c r="C4" s="75">
        <f>'WRA Worksheet'!C4</f>
        <v>0</v>
      </c>
      <c r="D4" s="81" t="str">
        <f>'WRA Worksheet'!D4</f>
        <v xml:space="preserve"> </v>
      </c>
    </row>
    <row r="5" spans="1:4" x14ac:dyDescent="0.25">
      <c r="A5" s="73">
        <v>1.03</v>
      </c>
      <c r="B5" s="74" t="s">
        <v>14</v>
      </c>
      <c r="C5" s="75">
        <f>'WRA Worksheet'!C5</f>
        <v>0</v>
      </c>
      <c r="D5" s="81" t="str">
        <f>'WRA Worksheet'!D5</f>
        <v xml:space="preserve"> </v>
      </c>
    </row>
    <row r="6" spans="1:4" ht="48" x14ac:dyDescent="0.25">
      <c r="A6" s="73">
        <v>2.0099999999999998</v>
      </c>
      <c r="B6" s="76" t="s">
        <v>165</v>
      </c>
      <c r="C6" s="75">
        <f>'WRA Worksheet'!C6</f>
        <v>3</v>
      </c>
      <c r="D6" s="82"/>
    </row>
    <row r="7" spans="1:4" x14ac:dyDescent="0.25">
      <c r="A7" s="73">
        <v>2.02</v>
      </c>
      <c r="B7" s="74" t="s">
        <v>166</v>
      </c>
      <c r="C7" s="75">
        <f>'WRA Worksheet'!C7</f>
        <v>3</v>
      </c>
      <c r="D7" s="82"/>
    </row>
    <row r="8" spans="1:4" x14ac:dyDescent="0.25">
      <c r="A8" s="73">
        <v>2.0299999999999998</v>
      </c>
      <c r="B8" s="74" t="s">
        <v>19</v>
      </c>
      <c r="C8" s="75" t="str">
        <f>'WRA Worksheet'!C8</f>
        <v>y</v>
      </c>
      <c r="D8" s="81">
        <f>'WRA Worksheet'!D8</f>
        <v>1</v>
      </c>
    </row>
    <row r="9" spans="1:4" ht="48" x14ac:dyDescent="0.25">
      <c r="A9" s="73">
        <v>2.04</v>
      </c>
      <c r="B9" s="77" t="s">
        <v>21</v>
      </c>
      <c r="C9" s="75" t="str">
        <f>'WRA Worksheet'!C9</f>
        <v>y</v>
      </c>
      <c r="D9" s="81">
        <f>'WRA Worksheet'!D9</f>
        <v>1</v>
      </c>
    </row>
    <row r="10" spans="1:4" ht="30" x14ac:dyDescent="0.25">
      <c r="A10" s="73">
        <v>2.0499999999999998</v>
      </c>
      <c r="B10" s="74" t="s">
        <v>24</v>
      </c>
      <c r="C10" s="78" t="str">
        <f>'WRA Worksheet'!C10</f>
        <v>y</v>
      </c>
      <c r="D10" s="82"/>
    </row>
    <row r="11" spans="1:4" x14ac:dyDescent="0.25">
      <c r="A11" s="73">
        <v>3.01</v>
      </c>
      <c r="B11" s="74" t="s">
        <v>27</v>
      </c>
      <c r="C11" s="75" t="str">
        <f>'WRA Worksheet'!C11</f>
        <v>y</v>
      </c>
      <c r="D11" s="81">
        <f>'WRA Worksheet'!D11</f>
        <v>2</v>
      </c>
    </row>
    <row r="12" spans="1:4" x14ac:dyDescent="0.25">
      <c r="A12" s="73">
        <v>3.02</v>
      </c>
      <c r="B12" s="74" t="s">
        <v>30</v>
      </c>
      <c r="C12" s="75" t="str">
        <f>'WRA Worksheet'!C12</f>
        <v>y</v>
      </c>
      <c r="D12" s="81">
        <f>'WRA Worksheet'!D12</f>
        <v>2</v>
      </c>
    </row>
    <row r="13" spans="1:4" x14ac:dyDescent="0.25">
      <c r="A13" s="73">
        <v>3.03</v>
      </c>
      <c r="B13" s="74" t="s">
        <v>32</v>
      </c>
      <c r="C13" s="75" t="str">
        <f>'WRA Worksheet'!C13</f>
        <v>n</v>
      </c>
      <c r="D13" s="81">
        <f>'WRA Worksheet'!D13</f>
        <v>0</v>
      </c>
    </row>
    <row r="14" spans="1:4" x14ac:dyDescent="0.25">
      <c r="A14" s="73">
        <v>3.04</v>
      </c>
      <c r="B14" s="74" t="s">
        <v>34</v>
      </c>
      <c r="C14" s="75" t="str">
        <f>'WRA Worksheet'!C14</f>
        <v>y</v>
      </c>
      <c r="D14" s="81">
        <f>'WRA Worksheet'!D14</f>
        <v>4</v>
      </c>
    </row>
    <row r="15" spans="1:4" x14ac:dyDescent="0.25">
      <c r="A15" s="73">
        <v>3.05</v>
      </c>
      <c r="B15" s="74" t="s">
        <v>35</v>
      </c>
      <c r="C15" s="75" t="str">
        <f>'WRA Worksheet'!C15</f>
        <v>y</v>
      </c>
      <c r="D15" s="81">
        <f>'WRA Worksheet'!D15</f>
        <v>2</v>
      </c>
    </row>
    <row r="16" spans="1:4" x14ac:dyDescent="0.25">
      <c r="A16" s="73">
        <v>4.01</v>
      </c>
      <c r="B16" s="74" t="s">
        <v>38</v>
      </c>
      <c r="C16" s="75" t="str">
        <f>'WRA Worksheet'!C16</f>
        <v>n</v>
      </c>
      <c r="D16" s="81">
        <f>'WRA Worksheet'!D16</f>
        <v>0</v>
      </c>
    </row>
    <row r="17" spans="1:4" x14ac:dyDescent="0.25">
      <c r="A17" s="73">
        <v>4.0199999999999996</v>
      </c>
      <c r="B17" s="74" t="s">
        <v>40</v>
      </c>
      <c r="C17" s="75" t="str">
        <f>'WRA Worksheet'!C17</f>
        <v>y</v>
      </c>
      <c r="D17" s="81">
        <f>'WRA Worksheet'!D17</f>
        <v>1</v>
      </c>
    </row>
    <row r="18" spans="1:4" x14ac:dyDescent="0.25">
      <c r="A18" s="73">
        <v>4.03</v>
      </c>
      <c r="B18" s="74" t="s">
        <v>43</v>
      </c>
      <c r="C18" s="75" t="str">
        <f>'WRA Worksheet'!C18</f>
        <v>n</v>
      </c>
      <c r="D18" s="81">
        <f>'WRA Worksheet'!D18</f>
        <v>0</v>
      </c>
    </row>
    <row r="19" spans="1:4" x14ac:dyDescent="0.25">
      <c r="A19" s="73">
        <v>4.04</v>
      </c>
      <c r="B19" s="74" t="s">
        <v>44</v>
      </c>
      <c r="C19" s="75" t="str">
        <f>'WRA Worksheet'!C19</f>
        <v>y</v>
      </c>
      <c r="D19" s="81">
        <f>'WRA Worksheet'!D19</f>
        <v>1</v>
      </c>
    </row>
    <row r="20" spans="1:4" x14ac:dyDescent="0.25">
      <c r="A20" s="73">
        <v>4.05</v>
      </c>
      <c r="B20" s="74" t="s">
        <v>47</v>
      </c>
      <c r="C20" s="75" t="str">
        <f>'WRA Worksheet'!C20</f>
        <v>?</v>
      </c>
      <c r="D20" s="81" t="str">
        <f>'WRA Worksheet'!D20</f>
        <v xml:space="preserve"> </v>
      </c>
    </row>
    <row r="21" spans="1:4" x14ac:dyDescent="0.25">
      <c r="A21" s="73">
        <v>4.0599999999999996</v>
      </c>
      <c r="B21" s="74" t="s">
        <v>51</v>
      </c>
      <c r="C21" s="75" t="str">
        <f>'WRA Worksheet'!C21</f>
        <v>n</v>
      </c>
      <c r="D21" s="81">
        <f>'WRA Worksheet'!D21</f>
        <v>0</v>
      </c>
    </row>
    <row r="22" spans="1:4" x14ac:dyDescent="0.25">
      <c r="A22" s="73">
        <v>4.07</v>
      </c>
      <c r="B22" s="74" t="s">
        <v>52</v>
      </c>
      <c r="C22" s="75" t="str">
        <f>'WRA Worksheet'!C22</f>
        <v>n</v>
      </c>
      <c r="D22" s="81">
        <f>'WRA Worksheet'!D22</f>
        <v>0</v>
      </c>
    </row>
    <row r="23" spans="1:4" x14ac:dyDescent="0.25">
      <c r="A23" s="73">
        <v>4.08</v>
      </c>
      <c r="B23" s="74" t="s">
        <v>53</v>
      </c>
      <c r="C23" s="75" t="str">
        <f>'WRA Worksheet'!C23</f>
        <v>n</v>
      </c>
      <c r="D23" s="81">
        <f>'WRA Worksheet'!D23</f>
        <v>0</v>
      </c>
    </row>
    <row r="24" spans="1:4" x14ac:dyDescent="0.25">
      <c r="A24" s="73">
        <v>4.09</v>
      </c>
      <c r="B24" s="74" t="s">
        <v>55</v>
      </c>
      <c r="C24" s="75" t="str">
        <f>'WRA Worksheet'!C24</f>
        <v>y</v>
      </c>
      <c r="D24" s="81">
        <f>'WRA Worksheet'!D24</f>
        <v>1</v>
      </c>
    </row>
    <row r="25" spans="1:4" ht="45" x14ac:dyDescent="0.25">
      <c r="A25" s="73">
        <v>4.0999999999999996</v>
      </c>
      <c r="B25" s="79" t="s">
        <v>57</v>
      </c>
      <c r="C25" s="75" t="str">
        <f>'WRA Worksheet'!C25</f>
        <v>y</v>
      </c>
      <c r="D25" s="81">
        <f>'WRA Worksheet'!D25</f>
        <v>1</v>
      </c>
    </row>
    <row r="26" spans="1:4" x14ac:dyDescent="0.25">
      <c r="A26" s="73">
        <v>4.1100000000000003</v>
      </c>
      <c r="B26" s="74" t="s">
        <v>59</v>
      </c>
      <c r="C26" s="75" t="str">
        <f>'WRA Worksheet'!C26</f>
        <v>n</v>
      </c>
      <c r="D26" s="81">
        <f>'WRA Worksheet'!D26</f>
        <v>0</v>
      </c>
    </row>
    <row r="27" spans="1:4" x14ac:dyDescent="0.25">
      <c r="A27" s="73">
        <v>4.12</v>
      </c>
      <c r="B27" s="74" t="s">
        <v>62</v>
      </c>
      <c r="C27" s="75" t="str">
        <f>'WRA Worksheet'!C27</f>
        <v>y</v>
      </c>
      <c r="D27" s="81">
        <f>'WRA Worksheet'!D27</f>
        <v>1</v>
      </c>
    </row>
    <row r="28" spans="1:4" x14ac:dyDescent="0.25">
      <c r="A28" s="73">
        <v>5.01</v>
      </c>
      <c r="B28" s="74" t="s">
        <v>65</v>
      </c>
      <c r="C28" s="75" t="str">
        <f>'WRA Worksheet'!C28</f>
        <v>y</v>
      </c>
      <c r="D28" s="81">
        <f>'WRA Worksheet'!D28</f>
        <v>5</v>
      </c>
    </row>
    <row r="29" spans="1:4" x14ac:dyDescent="0.25">
      <c r="A29" s="73">
        <v>5.0199999999999996</v>
      </c>
      <c r="B29" s="74" t="s">
        <v>68</v>
      </c>
      <c r="C29" s="75" t="str">
        <f>'WRA Worksheet'!C29</f>
        <v>n</v>
      </c>
      <c r="D29" s="81">
        <f>'WRA Worksheet'!D29</f>
        <v>0</v>
      </c>
    </row>
    <row r="30" spans="1:4" x14ac:dyDescent="0.25">
      <c r="A30" s="73">
        <v>5.03</v>
      </c>
      <c r="B30" s="74" t="s">
        <v>70</v>
      </c>
      <c r="C30" s="75" t="str">
        <f>'WRA Worksheet'!C30</f>
        <v>n</v>
      </c>
      <c r="D30" s="81">
        <f>'WRA Worksheet'!D30</f>
        <v>0</v>
      </c>
    </row>
    <row r="31" spans="1:4" x14ac:dyDescent="0.25">
      <c r="A31" s="73">
        <v>5.04</v>
      </c>
      <c r="B31" s="74" t="s">
        <v>72</v>
      </c>
      <c r="C31" s="75" t="str">
        <f>'WRA Worksheet'!C31</f>
        <v>n</v>
      </c>
      <c r="D31" s="81">
        <f>'WRA Worksheet'!D31</f>
        <v>0</v>
      </c>
    </row>
    <row r="32" spans="1:4" x14ac:dyDescent="0.25">
      <c r="A32" s="73">
        <v>6.01</v>
      </c>
      <c r="B32" s="74" t="s">
        <v>75</v>
      </c>
      <c r="C32" s="75" t="str">
        <f>'WRA Worksheet'!C32</f>
        <v>n</v>
      </c>
      <c r="D32" s="81">
        <f>'WRA Worksheet'!D32</f>
        <v>0</v>
      </c>
    </row>
    <row r="33" spans="1:4" x14ac:dyDescent="0.25">
      <c r="A33" s="73">
        <v>6.02</v>
      </c>
      <c r="B33" s="74" t="s">
        <v>76</v>
      </c>
      <c r="C33" s="75" t="str">
        <f>'WRA Worksheet'!C33</f>
        <v>y</v>
      </c>
      <c r="D33" s="81">
        <f>'WRA Worksheet'!D33</f>
        <v>1</v>
      </c>
    </row>
    <row r="34" spans="1:4" x14ac:dyDescent="0.25">
      <c r="A34" s="73">
        <v>6.03</v>
      </c>
      <c r="B34" s="74" t="s">
        <v>79</v>
      </c>
      <c r="C34" s="75" t="str">
        <f>'WRA Worksheet'!C34</f>
        <v>y</v>
      </c>
      <c r="D34" s="81">
        <f>'WRA Worksheet'!D34</f>
        <v>1</v>
      </c>
    </row>
    <row r="35" spans="1:4" x14ac:dyDescent="0.25">
      <c r="A35" s="73">
        <v>6.04</v>
      </c>
      <c r="B35" s="74" t="s">
        <v>82</v>
      </c>
      <c r="C35" s="75" t="str">
        <f>'WRA Worksheet'!C35</f>
        <v>?</v>
      </c>
      <c r="D35" s="81" t="str">
        <f>'WRA Worksheet'!D35</f>
        <v xml:space="preserve"> </v>
      </c>
    </row>
    <row r="36" spans="1:4" x14ac:dyDescent="0.25">
      <c r="A36" s="73">
        <v>6.05</v>
      </c>
      <c r="B36" s="74" t="s">
        <v>85</v>
      </c>
      <c r="C36" s="75" t="str">
        <f>'WRA Worksheet'!C36</f>
        <v>n</v>
      </c>
      <c r="D36" s="81">
        <f>'WRA Worksheet'!D36</f>
        <v>0</v>
      </c>
    </row>
    <row r="37" spans="1:4" x14ac:dyDescent="0.25">
      <c r="A37" s="73">
        <v>6.06</v>
      </c>
      <c r="B37" s="74" t="s">
        <v>87</v>
      </c>
      <c r="C37" s="75" t="str">
        <f>'WRA Worksheet'!C37</f>
        <v>y</v>
      </c>
      <c r="D37" s="81">
        <f>'WRA Worksheet'!D37</f>
        <v>1</v>
      </c>
    </row>
    <row r="38" spans="1:4" x14ac:dyDescent="0.25">
      <c r="A38" s="73">
        <v>6.07</v>
      </c>
      <c r="B38" s="74" t="s">
        <v>89</v>
      </c>
      <c r="C38" s="80" t="str">
        <f>'WRA Worksheet'!C38</f>
        <v>?</v>
      </c>
      <c r="D38" s="81" t="str">
        <f>'WRA Worksheet'!D38</f>
        <v xml:space="preserve"> </v>
      </c>
    </row>
    <row r="39" spans="1:4" ht="30" x14ac:dyDescent="0.25">
      <c r="A39" s="73">
        <v>7.01</v>
      </c>
      <c r="B39" s="74" t="s">
        <v>91</v>
      </c>
      <c r="C39" s="75" t="str">
        <f>'WRA Worksheet'!C39</f>
        <v>y</v>
      </c>
      <c r="D39" s="81">
        <f>'WRA Worksheet'!D39</f>
        <v>1</v>
      </c>
    </row>
    <row r="40" spans="1:4" x14ac:dyDescent="0.25">
      <c r="A40" s="73">
        <v>7.02</v>
      </c>
      <c r="B40" s="74" t="s">
        <v>94</v>
      </c>
      <c r="C40" s="75" t="str">
        <f>'WRA Worksheet'!C40</f>
        <v>y</v>
      </c>
      <c r="D40" s="81">
        <f>'WRA Worksheet'!D40</f>
        <v>1</v>
      </c>
    </row>
    <row r="41" spans="1:4" x14ac:dyDescent="0.25">
      <c r="A41" s="73">
        <v>7.03</v>
      </c>
      <c r="B41" s="74" t="s">
        <v>96</v>
      </c>
      <c r="C41" s="75" t="str">
        <f>'WRA Worksheet'!C41</f>
        <v>n</v>
      </c>
      <c r="D41" s="81">
        <f>'WRA Worksheet'!D41</f>
        <v>-1</v>
      </c>
    </row>
    <row r="42" spans="1:4" x14ac:dyDescent="0.25">
      <c r="A42" s="73">
        <v>7.04</v>
      </c>
      <c r="B42" s="74" t="s">
        <v>98</v>
      </c>
      <c r="C42" s="75" t="str">
        <f>'WRA Worksheet'!C42</f>
        <v>n</v>
      </c>
      <c r="D42" s="81">
        <f>'WRA Worksheet'!D42</f>
        <v>-1</v>
      </c>
    </row>
    <row r="43" spans="1:4" x14ac:dyDescent="0.25">
      <c r="A43" s="73">
        <v>7.05</v>
      </c>
      <c r="B43" s="74" t="s">
        <v>99</v>
      </c>
      <c r="C43" s="75" t="str">
        <f>'WRA Worksheet'!C43</f>
        <v>y</v>
      </c>
      <c r="D43" s="81">
        <f>'WRA Worksheet'!D43</f>
        <v>1</v>
      </c>
    </row>
    <row r="44" spans="1:4" x14ac:dyDescent="0.25">
      <c r="A44" s="73">
        <v>7.06</v>
      </c>
      <c r="B44" s="74" t="s">
        <v>100</v>
      </c>
      <c r="C44" s="75" t="str">
        <f>'WRA Worksheet'!C44</f>
        <v>y</v>
      </c>
      <c r="D44" s="81">
        <f>'WRA Worksheet'!D44</f>
        <v>1</v>
      </c>
    </row>
    <row r="45" spans="1:4" x14ac:dyDescent="0.25">
      <c r="A45" s="73">
        <v>7.07</v>
      </c>
      <c r="B45" s="74" t="s">
        <v>101</v>
      </c>
      <c r="C45" s="75" t="str">
        <f>'WRA Worksheet'!C45</f>
        <v>n</v>
      </c>
      <c r="D45" s="81">
        <f>'WRA Worksheet'!D45</f>
        <v>-1</v>
      </c>
    </row>
    <row r="46" spans="1:4" x14ac:dyDescent="0.25">
      <c r="A46" s="73">
        <v>7.08</v>
      </c>
      <c r="B46" s="74" t="s">
        <v>102</v>
      </c>
      <c r="C46" s="75" t="str">
        <f>'WRA Worksheet'!C46</f>
        <v>y</v>
      </c>
      <c r="D46" s="81">
        <f>'WRA Worksheet'!D46</f>
        <v>1</v>
      </c>
    </row>
    <row r="47" spans="1:4" x14ac:dyDescent="0.25">
      <c r="A47" s="73">
        <v>8.01</v>
      </c>
      <c r="B47" s="74" t="s">
        <v>104</v>
      </c>
      <c r="C47" s="75" t="str">
        <f>'WRA Worksheet'!C47</f>
        <v>y</v>
      </c>
      <c r="D47" s="81">
        <f>'WRA Worksheet'!D47</f>
        <v>1</v>
      </c>
    </row>
    <row r="48" spans="1:4" x14ac:dyDescent="0.25">
      <c r="A48" s="73">
        <v>8.02</v>
      </c>
      <c r="B48" s="74" t="s">
        <v>106</v>
      </c>
      <c r="C48" s="75" t="str">
        <f>'WRA Worksheet'!C48</f>
        <v>y</v>
      </c>
      <c r="D48" s="81">
        <f>'WRA Worksheet'!D48</f>
        <v>1</v>
      </c>
    </row>
    <row r="49" spans="1:4" x14ac:dyDescent="0.25">
      <c r="A49" s="73">
        <v>8.0299999999999994</v>
      </c>
      <c r="B49" s="74" t="s">
        <v>108</v>
      </c>
      <c r="C49" s="75" t="str">
        <f>'WRA Worksheet'!C49</f>
        <v>y</v>
      </c>
      <c r="D49" s="81">
        <f>'WRA Worksheet'!D49</f>
        <v>-1</v>
      </c>
    </row>
    <row r="50" spans="1:4" x14ac:dyDescent="0.25">
      <c r="A50" s="73">
        <v>8.0399999999999991</v>
      </c>
      <c r="B50" s="74" t="s">
        <v>111</v>
      </c>
      <c r="C50" s="75" t="str">
        <f>'WRA Worksheet'!C50</f>
        <v>y</v>
      </c>
      <c r="D50" s="81">
        <f>'WRA Worksheet'!D50</f>
        <v>1</v>
      </c>
    </row>
    <row r="51" spans="1:4" x14ac:dyDescent="0.25">
      <c r="A51" s="73">
        <v>8.0500000000000007</v>
      </c>
      <c r="B51" s="66" t="s">
        <v>113</v>
      </c>
      <c r="C51" s="75" t="str">
        <f>'WRA Worksheet'!C51</f>
        <v>y</v>
      </c>
      <c r="D51" s="81">
        <f>'WRA Worksheet'!D51</f>
        <v>-1</v>
      </c>
    </row>
    <row r="52" spans="1:4" x14ac:dyDescent="0.25">
      <c r="A52" s="31"/>
      <c r="B52" s="32" t="s">
        <v>116</v>
      </c>
      <c r="C52" s="158">
        <f>'WRA Worksheet'!D53</f>
        <v>28</v>
      </c>
      <c r="D52" s="158"/>
    </row>
    <row r="53" spans="1:4" x14ac:dyDescent="0.25">
      <c r="A53" s="33"/>
      <c r="B53" s="34" t="s">
        <v>167</v>
      </c>
      <c r="C53" s="158" t="str" cm="1">
        <f t="array" ref="C53">IF(OR('WRA Worksheet'!C71:D71="yes", 'WRA Worksheet'!C72:D72="yes", 'WRA Worksheet'!C73:D73="yes"),"yes","no")</f>
        <v>no</v>
      </c>
      <c r="D53" s="158"/>
    </row>
    <row r="54" spans="1:4" x14ac:dyDescent="0.25">
      <c r="A54" s="33"/>
      <c r="B54" s="34" t="s">
        <v>168</v>
      </c>
      <c r="C54" s="158" t="str">
        <f>IF(C53="yes", 'WRA Worksheet'!C74, 'WRA Worksheet'!D54)</f>
        <v>reject</v>
      </c>
      <c r="D54" s="158"/>
    </row>
    <row r="55" spans="1:4" ht="15.75" thickBot="1" x14ac:dyDescent="0.3">
      <c r="A55" s="35"/>
      <c r="B55" s="36"/>
      <c r="C55" s="36"/>
      <c r="D55" s="37"/>
    </row>
    <row r="56" spans="1:4" ht="39.75" thickTop="1" x14ac:dyDescent="0.25">
      <c r="A56" s="38" t="s">
        <v>169</v>
      </c>
      <c r="B56" s="39" t="s">
        <v>170</v>
      </c>
      <c r="C56" s="40" t="s">
        <v>120</v>
      </c>
      <c r="D56" s="37"/>
    </row>
    <row r="57" spans="1:4" x14ac:dyDescent="0.25">
      <c r="A57" s="41" t="s">
        <v>121</v>
      </c>
      <c r="B57" s="42">
        <f>'WRA Worksheet'!C57</f>
        <v>11</v>
      </c>
      <c r="C57" s="43" t="str">
        <f>IF(B57&gt;=2,"yes","no")</f>
        <v>yes</v>
      </c>
      <c r="D57" s="37"/>
    </row>
    <row r="58" spans="1:4" x14ac:dyDescent="0.25">
      <c r="A58" s="41" t="s">
        <v>122</v>
      </c>
      <c r="B58" s="42">
        <f>'WRA Worksheet'!C58</f>
        <v>11</v>
      </c>
      <c r="C58" s="43" t="str">
        <f>IF(B58&gt;=2,"yes","no")</f>
        <v>yes</v>
      </c>
      <c r="D58" s="37"/>
    </row>
    <row r="59" spans="1:4" x14ac:dyDescent="0.25">
      <c r="A59" s="41" t="s">
        <v>123</v>
      </c>
      <c r="B59" s="42">
        <f>'WRA Worksheet'!C59</f>
        <v>22</v>
      </c>
      <c r="C59" s="43" t="str">
        <f>IF(B59&gt;=6,"yes","no")</f>
        <v>yes</v>
      </c>
      <c r="D59" s="37"/>
    </row>
    <row r="60" spans="1:4" ht="15.75" thickBot="1" x14ac:dyDescent="0.3">
      <c r="A60" s="44" t="s">
        <v>124</v>
      </c>
      <c r="B60" s="45">
        <f>'WRA Worksheet'!C60</f>
        <v>44</v>
      </c>
      <c r="C60" s="46" t="str">
        <f>IF(C57="no","no",IF(C58="no","no",IF(C59="no","no","yes")))</f>
        <v>yes</v>
      </c>
      <c r="D60" s="37"/>
    </row>
    <row r="61" spans="1:4" ht="15.75" thickTop="1" x14ac:dyDescent="0.25"/>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x14ac:dyDescent="0.25"/>
  <cols>
    <col min="1" max="1" width="5" customWidth="1"/>
    <col min="2" max="3" width="49.42578125" customWidth="1"/>
  </cols>
  <sheetData>
    <row r="1" spans="1:3" ht="28.5" customHeight="1" x14ac:dyDescent="0.25">
      <c r="A1" s="47"/>
      <c r="B1" s="48" t="s">
        <v>8</v>
      </c>
      <c r="C1" s="49" t="s">
        <v>9</v>
      </c>
    </row>
    <row r="2" spans="1:3" x14ac:dyDescent="0.25">
      <c r="A2" s="30">
        <v>1.01</v>
      </c>
      <c r="B2" s="50" t="str" cm="1">
        <f t="array" ref="B2:C50">'WRA Worksheet'!F3:G51</f>
        <v>No evidence of cultivation to reduce weediness.</v>
      </c>
      <c r="C2" s="51">
        <v>0</v>
      </c>
    </row>
    <row r="3" spans="1:3" x14ac:dyDescent="0.25">
      <c r="A3" s="30">
        <v>1.02</v>
      </c>
      <c r="B3" s="50">
        <v>0</v>
      </c>
      <c r="C3" s="50">
        <v>0</v>
      </c>
    </row>
    <row r="4" spans="1:3" x14ac:dyDescent="0.25">
      <c r="A4" s="30">
        <v>1.03</v>
      </c>
      <c r="B4" s="50">
        <v>0</v>
      </c>
      <c r="C4" s="50">
        <v>0</v>
      </c>
    </row>
    <row r="5" spans="1:3" x14ac:dyDescent="0.25">
      <c r="A5" s="30">
        <v>2.0099999999999998</v>
      </c>
      <c r="B5" s="52" t="str">
        <v>High suitability to north and central zones.</v>
      </c>
      <c r="C5" s="53" t="str">
        <v>see climate suitability map.</v>
      </c>
    </row>
    <row r="6" spans="1:3" x14ac:dyDescent="0.25">
      <c r="A6" s="30">
        <v>2.02</v>
      </c>
      <c r="B6" s="53" t="str">
        <v>see climate suitability map.</v>
      </c>
      <c r="C6" s="54">
        <v>0</v>
      </c>
    </row>
    <row r="7" spans="1:3" x14ac:dyDescent="0.25">
      <c r="A7" s="30">
        <v>2.0299999999999998</v>
      </c>
      <c r="B7" s="54">
        <v>0</v>
      </c>
      <c r="C7" s="53">
        <v>0</v>
      </c>
    </row>
    <row r="8" spans="1:3" ht="45" x14ac:dyDescent="0.25">
      <c r="A8" s="30">
        <v>2.04</v>
      </c>
      <c r="B8" s="51" t="str">
        <v>Taxon is suited to tolerate Florida's precipitation regimes.</v>
      </c>
      <c r="C8" s="51" t="str">
        <v>(1) https://www.cabidigitallibrary.org/doi/full/10.1079/cabicompendium.109148</v>
      </c>
    </row>
    <row r="9" spans="1:3" ht="45" x14ac:dyDescent="0.25">
      <c r="A9" s="30">
        <v>2.0499999999999998</v>
      </c>
      <c r="B9" s="51" t="str">
        <v xml:space="preserve">"records for Pennsylvania, Tennessee, Arizona and the Pacific Coast indicate movement by humans across nature’s geographical barriers (1)." </v>
      </c>
      <c r="C9" s="53" t="str">
        <v>(1) https://plant-directory.ifas.ufl.edu/plant-directory/ludwigia-grandiflora/</v>
      </c>
    </row>
    <row r="10" spans="1:3" ht="75" x14ac:dyDescent="0.25">
      <c r="A10" s="30">
        <v>3.01</v>
      </c>
      <c r="B10" s="51" t="str">
        <v>Taxon is naturalized in Europe and any occurances of species in contiguous U.S. are introductions (1). "It was naturalized in Florida by 1966 (2)"</v>
      </c>
      <c r="C10" s="53" t="str">
        <v>(1) https://www.fws.gov/sites/default/files/documents/Ecological-Risk-Screening-Summary-Large-flower-Primrose-willow.pdf (2) https://florida.plantatlas.usf.edu/plant/species/135</v>
      </c>
    </row>
    <row r="11" spans="1:3" ht="45" x14ac:dyDescent="0.25">
      <c r="A11" s="30">
        <v>3.02</v>
      </c>
      <c r="B11" s="50" t="str">
        <v>Taxon commonly occurs in wet disturbed areas (1) (2)</v>
      </c>
      <c r="C11" s="53" t="str">
        <v>(1) https://nas.er.usgs.gov/queries/factsheet.aspx?SpeciesID=253 (2) https://www.fws.gov/sites/default/files/documents/Ecological-Risk-Screening-Summary-Large-flower-Primrose-willow.pdf</v>
      </c>
    </row>
    <row r="12" spans="1:3" x14ac:dyDescent="0.25">
      <c r="A12" s="30">
        <v>3.03</v>
      </c>
      <c r="B12" s="50" t="str">
        <v>No evidence of taxon impacting agricultural practices.</v>
      </c>
      <c r="C12" s="53">
        <v>0</v>
      </c>
    </row>
    <row r="13" spans="1:3" ht="45" x14ac:dyDescent="0.25">
      <c r="A13" s="30">
        <v>3.04</v>
      </c>
      <c r="B13" s="51" t="str">
        <v xml:space="preserve">Taxon outcompetes native vegetation and alters habitat ecology (1) (2) (3). </v>
      </c>
      <c r="C13" s="53" t="str">
        <v>(1) https://nas.er.usgs.gov/queries/factsheet.aspx?SpeciesID=253 (2) https://www.cabidigitallibrary.org/doi/full/10.1079/cabicompendium.109148 (3) Stiers, I., Njambuya, J., &amp; Triest, L. (2011). Competitive abilities of invasive Lagarosiphon major and native Ceratophyllum demersum in monocultures and mixed cultures in relation to experimental sediment dredging. Aquatic Botany, 95(2), 161-166.</v>
      </c>
    </row>
    <row r="14" spans="1:3" ht="165" x14ac:dyDescent="0.25">
      <c r="A14" s="30">
        <v>3.05</v>
      </c>
      <c r="B14" s="51" t="str">
        <v>"Ludwigia hexapetala, however, is not native to central Florida where, since 2011, it has usurped native communities in the Kissimmee Chain of Lakes, and probably elsewhere (1)." L. peploides is a cogener that is highly invasive in Europe (2).</v>
      </c>
      <c r="C14" s="53" t="str">
        <v xml:space="preserve">(1) https://plant-directory.ifas.ufl.edu/plant-directory/ludwigia-grandiflora/ (2) 
  Hussner, A., Stiers, I., Verhofstad, M. J. J. M., Bakker, E. S., Grutters, B. M. C., Haury, J., van Valkenburg, J. L. C. H., Brundu, G., Newman, J., Clayton, J. S., Anderson, L. W. J., &amp; Hofstra, D. (2017). Management and control methods of invasive alien freshwater aquatic plants: A review. Aquatic Botany, 136, 112–137. https://doi.org/10.1016/j.aquabot.2016.08.002
</v>
      </c>
    </row>
    <row r="15" spans="1:3" x14ac:dyDescent="0.25">
      <c r="A15" s="30">
        <v>4.01</v>
      </c>
      <c r="B15" s="50" t="str">
        <v>No evidence.</v>
      </c>
      <c r="C15" s="55">
        <v>0</v>
      </c>
    </row>
    <row r="16" spans="1:3" ht="90" x14ac:dyDescent="0.25">
      <c r="A16" s="30">
        <v>4.0199999999999996</v>
      </c>
      <c r="B16" s="51" t="str">
        <v>Taxon exhibits allelpathic characteristics, altering water chemistry to inhibit growth of surrounding vegetation (1). "Through allelopathic chemicals, L. grandiflora inhibited Lactuca sativa and Nasturtium officinale germination when grown in mixtures (2)."</v>
      </c>
      <c r="C16" s="51" t="str">
        <v>(1) https://www.fws.gov/sites/default/files/documents/2025-04/ecological-risk-screening-summary-large-flower-primrose-willow.pdf (2) https://nas.er.usgs.gov/queries/factsheet.aspx?SpeciesID=253</v>
      </c>
    </row>
    <row r="17" spans="1:3" x14ac:dyDescent="0.25">
      <c r="A17" s="30">
        <v>4.03</v>
      </c>
      <c r="B17" s="51" t="str">
        <v>No evidence.</v>
      </c>
      <c r="C17" s="51">
        <v>0</v>
      </c>
    </row>
    <row r="18" spans="1:3" ht="90" x14ac:dyDescent="0.25">
      <c r="A18" s="30">
        <v>4.04</v>
      </c>
      <c r="B18" s="51" t="str">
        <v>"L. grandiflora produces unpalatable compounds that cause herbivores and pathogens to avoid them (1)." Herbivores avoid taxon (2).</v>
      </c>
      <c r="C18" s="51" t="str">
        <v>(1) https://nas.er.usgs.gov/queries/greatlakes/FactSheet.aspx?Species_ID=253&amp;Potential=Y&amp;Type=2&amp;HUCNumber=DGreatLakes (2) https://www.cabidigitallibrary.org/doi/full/10.1079/cabicompendium.109148</v>
      </c>
    </row>
    <row r="19" spans="1:3" ht="30" x14ac:dyDescent="0.25">
      <c r="A19" s="30">
        <v>4.05</v>
      </c>
      <c r="B19" s="51" t="str">
        <v>Taxon is not considered toxic but produces allelopathic chemicals that make it unpalatable (1)</v>
      </c>
      <c r="C19" s="51" t="str">
        <v>(1) https://earthone.io/plant/ludwigia%20grandiflora</v>
      </c>
    </row>
    <row r="20" spans="1:3" ht="90" x14ac:dyDescent="0.25">
      <c r="A20" s="30">
        <v>4.0599999999999996</v>
      </c>
      <c r="B20" s="51" t="str">
        <v>"L. grandiflora produces unpalatable compounds that cause herbivores and pathogens to avoid them (1)." Herbivores avoid taxon (2).</v>
      </c>
      <c r="C20" s="51" t="str">
        <v>(1) https://nas.er.usgs.gov/queries/greatlakes/FactSheet.aspx?Species_ID=253&amp;Potential=Y&amp;Type=2&amp;HUCNumber=DGreatLakes (2) https://www.cabidigitallibrary.org/doi/full/10.1079/cabicompendium.109148</v>
      </c>
    </row>
    <row r="21" spans="1:3" ht="30" x14ac:dyDescent="0.25">
      <c r="A21" s="30">
        <v>4.07</v>
      </c>
      <c r="B21" s="51" t="str">
        <v>Taxon is not considered toxic but produces allelopathic chemicals that make it unpalatable (1)</v>
      </c>
      <c r="C21" s="51" t="str">
        <v>(1) https://earthone.io/plant/ludwigia%20grandiflora</v>
      </c>
    </row>
    <row r="22" spans="1:3" ht="45" x14ac:dyDescent="0.25">
      <c r="A22" s="30">
        <v>4.08</v>
      </c>
      <c r="B22" s="51" t="str">
        <v>No evidence that taxon increases fire risk but is noted to be moderately fire-tolerant.</v>
      </c>
      <c r="C22" s="53" t="str">
        <v>(1) https://nas.er.usgs.gov/queries/factsheet.aspx?SpeciesID=253</v>
      </c>
    </row>
    <row r="23" spans="1:3" ht="45" x14ac:dyDescent="0.25">
      <c r="A23" s="30">
        <v>4.09</v>
      </c>
      <c r="B23" s="51" t="str">
        <v xml:space="preserve">Taxon is shade tolerant. </v>
      </c>
      <c r="C23" s="51" t="str">
        <v>(1) https://www.cabidigitallibrary.org/doi/full/10.1079/cabicompendium.109148</v>
      </c>
    </row>
    <row r="24" spans="1:3" ht="90" x14ac:dyDescent="0.25">
      <c r="A24" s="30">
        <v>4.0999999999999996</v>
      </c>
      <c r="B24" s="51" t="str">
        <v>Taxon is commonly occurs in low-nutrient soils and prefers inundated soils but tolerates well-drained soil. (1)(2)</v>
      </c>
      <c r="C24" s="51" t="str">
        <v>(1) https://nas.er.usgs.gov/queries/greatlakes/FactSheet.aspx?Species_ID=253&amp;Potential=Y&amp;Type=2&amp;HUCNumber=DGreatLakes (2) https://www.cabidigitallibrary.org/doi/full/10.1079/cabicompendium.109148</v>
      </c>
    </row>
    <row r="25" spans="1:3" ht="60" x14ac:dyDescent="0.25">
      <c r="A25" s="30">
        <v>4.1100000000000003</v>
      </c>
      <c r="B25" s="51" t="str">
        <v>Taxon does not exhibit climbing or smothering traits, but commonly shades out other submerged vegetation.</v>
      </c>
      <c r="C25" s="51" t="str">
        <v>(1) https://www.fws.gov/sites/default/files/documents/Ecological-Risk-Screening-Summary-Large-flower-Primrose-willow.pdf</v>
      </c>
    </row>
    <row r="26" spans="1:3" ht="105" x14ac:dyDescent="0.25">
      <c r="A26" s="30">
        <v>4.12</v>
      </c>
      <c r="B26" s="51" t="str">
        <v>“Ludwigia grandiflora forms dense stands that eliminate native vegetation by forming monospecific stands that competitively exclude other flora." Taxon can impede waterflow and block traffic through waterways. (1) Taxon grows in dense mats (2).</v>
      </c>
      <c r="C26" s="51" t="str">
        <v>(1) https://www.fws.gov/sites/default/files/documents/Ecological-Risk-Screening-Summary-Large-flower-Primrose-willow.pdf (2)  https://nas.er.usgs.gov/queries/greatlakes/FactSheet.aspx?Species_ID=253&amp;Potential=Y&amp;Type=2&amp;HUCNumber=DGreatLakes</v>
      </c>
    </row>
    <row r="27" spans="1:3" ht="195" x14ac:dyDescent="0.25">
      <c r="A27" s="30">
        <v>5.01</v>
      </c>
      <c r="B27" s="51" t="str">
        <v>Taxon commonly occurs in inundated soils. (1)(2)</v>
      </c>
      <c r="C27" s="51" t="str">
        <v>(1) 
  Hussner, A., Stiers, I., Verhofstad, M. J. J. M., Bakker, E. S., Grutters, B. M. C., Haury, J., van Valkenburg, J. L. C. H., Brundu, G., Newman, J., Clayton, J. S., Anderson, L. W. J., &amp; Hofstra, D. (2017). Management and control methods of invasive alien freshwater aquatic plants: A review. Aquatic Botany, 136, 112–137. https://doi.org/10.1016/j.aquabot.2016.08.002
(2) https://www.fws.gov/sites/default/files/documents/Ecological-Risk-Screening-Summary-Large-flower-Primrose-willow.pdf</v>
      </c>
    </row>
    <row r="28" spans="1:3" x14ac:dyDescent="0.25">
      <c r="A28" s="30">
        <v>5.0199999999999996</v>
      </c>
      <c r="B28" s="51" t="str">
        <v>Not of the Poaceae family</v>
      </c>
      <c r="C28" s="51">
        <v>0</v>
      </c>
    </row>
    <row r="29" spans="1:3" ht="30" x14ac:dyDescent="0.25">
      <c r="A29" s="30">
        <v>5.03</v>
      </c>
      <c r="B29" s="51" t="str">
        <v>No evidence of nitrogen fixation and not a woody plant</v>
      </c>
      <c r="C29" s="51">
        <v>0</v>
      </c>
    </row>
    <row r="30" spans="1:3" ht="60" x14ac:dyDescent="0.25">
      <c r="A30" s="30">
        <v>5.04</v>
      </c>
      <c r="B30" s="51" t="str">
        <v xml:space="preserve"> Rhizomes present, but no
evidence of other underground storage tissues</v>
      </c>
      <c r="C30" s="51" t="str">
        <v>(1) https://www.fws.gov/sites/default/files/documents/2025-04/ecological-risk-screening-summary-large-flower-primrose-willow.pdf</v>
      </c>
    </row>
    <row r="31" spans="1:3" x14ac:dyDescent="0.25">
      <c r="A31" s="30">
        <v>6.01</v>
      </c>
      <c r="B31" s="50" t="str">
        <v>No evidence.</v>
      </c>
      <c r="C31" s="51">
        <v>0</v>
      </c>
    </row>
    <row r="32" spans="1:3" ht="90" x14ac:dyDescent="0.25">
      <c r="A32" s="30">
        <v>6.02</v>
      </c>
      <c r="B32" s="51" t="str">
        <v>Taxon produces seeds. (1)(2)</v>
      </c>
      <c r="C32" s="51" t="str">
        <v>(1) https://www.fws.gov/sites/default/files/documents/2025-04/ecological-risk-screening-summary-large-flower-primrose-willow.pdf  (2) https://nas.er.usgs.gov/queries/factsheet.aspx?SpeciesID=253</v>
      </c>
    </row>
    <row r="33" spans="1:3" ht="75" x14ac:dyDescent="0.25">
      <c r="A33" s="30">
        <v>6.03</v>
      </c>
      <c r="B33" s="51" t="str">
        <v xml:space="preserve">Octoploid hybrids between L. grandiflora and L. hexapetala occur where ranges overlap (1)(2)  </v>
      </c>
      <c r="C33" s="51" t="str">
        <v>(1) https://florida.plantatlas.usf.edu/plant/species/135 (2) https://www.cabidigitallibrary.org/doi/full/10.1079/cabicompendium.109148</v>
      </c>
    </row>
    <row r="34" spans="1:3" ht="90" x14ac:dyDescent="0.25">
      <c r="A34" s="30">
        <v>6.04</v>
      </c>
      <c r="B34" s="51" t="str">
        <v>Conflicting information: “self-compatible flowers will self-fertilize; most reproduction is through vegatative fragmentation of stems (1)" and "the species is self-incompatible, but the species has a very high potential seed output (2)."</v>
      </c>
      <c r="C34" s="51" t="str">
        <v>(1) https://www.fws.gov/sites/default/files/documents/2025-04/ecological-risk-screening-summary-large-flower-primrose-willow.pdf (2) https://www.cabidigitallibrary.org/doi/full/10.1079/cabicompendium.109148</v>
      </c>
    </row>
    <row r="35" spans="1:3" ht="45" x14ac:dyDescent="0.25">
      <c r="A35" s="30">
        <v>6.05</v>
      </c>
      <c r="B35" s="51" t="str">
        <v>Taxon pollinated by generalist pollinators.</v>
      </c>
      <c r="C35" s="51" t="str">
        <v>(1) https://nas.er.usgs.gov/queries/factsheet.aspx?SpeciesID=253</v>
      </c>
    </row>
    <row r="36" spans="1:3" ht="90" x14ac:dyDescent="0.25">
      <c r="A36" s="30">
        <v>6.06</v>
      </c>
      <c r="B36" s="51" t="str">
        <v>Taxon grows rapidly from vegetative cuttings and fragments. (1)(2)</v>
      </c>
      <c r="C36" s="51" t="str">
        <v>(1) https://nas.er.usgs.gov/queries/greatlakes/FactSheet.aspx?Species_ID=253&amp;Potential=Y&amp;Type=2&amp;HUCNumber=DGreatLakes (2) https://www.cabidigitallibrary.org/doi/full/10.1079/cabicompendium.109148</v>
      </c>
    </row>
    <row r="37" spans="1:3" x14ac:dyDescent="0.25">
      <c r="A37" s="30">
        <v>6.07</v>
      </c>
      <c r="B37" s="51" t="str">
        <v>Not enough information found.</v>
      </c>
      <c r="C37" s="51">
        <v>0</v>
      </c>
    </row>
    <row r="38" spans="1:3" ht="90" x14ac:dyDescent="0.25">
      <c r="A38" s="30">
        <v>7.01</v>
      </c>
      <c r="B38" s="51" t="str">
        <v>"The primary introduction pathway is through the ornamental plant trade... Secondarily L. grandiflora is dispersed as stem fragments carried by water and waterfowl (1)." "“L. grandiflora disperses primarily through the movement of plant parts in water (2)"</v>
      </c>
      <c r="C38" s="51" t="str">
        <v>(1) https://nas.er.usgs.gov/queries/factsheet.aspx?SpeciesID=253 (2) https://www.fws.gov/sites/default/files/documents/Ecological-Risk-Screening-Summary-Large-flower-Primrose-willow.pdf</v>
      </c>
    </row>
    <row r="39" spans="1:3" ht="60" x14ac:dyDescent="0.25">
      <c r="A39" s="30">
        <v>7.02</v>
      </c>
      <c r="B39" s="51" t="str">
        <v>"The primary introduction pathway is through the ornamental plant trade... Secondarily L. grandiflora is dispersed as stem fragments carried by water and waterfowl (1)."</v>
      </c>
      <c r="C39" s="51" t="str">
        <v>(1) https://nas.er.usgs.gov/queries/factsheet.aspx?SpeciesID=253</v>
      </c>
    </row>
    <row r="40" spans="1:3" ht="90" x14ac:dyDescent="0.25">
      <c r="A40" s="30">
        <v>7.03</v>
      </c>
      <c r="B40" s="50" t="str">
        <v>Taxon has been cultivated and transported as an ornamental plant, but most dispersal occurs through waterways. (1)(2)</v>
      </c>
      <c r="C40" s="51" t="str">
        <v>(1) https://nas.er.usgs.gov/queries/factsheet.aspx?SpeciesID=253 (2) https://www.fws.gov/sites/default/files/documents/Ecological-Risk-Screening-Summary-Large-flower-Primrose-willow.pdf</v>
      </c>
    </row>
    <row r="41" spans="1:3" x14ac:dyDescent="0.25">
      <c r="A41" s="30">
        <v>7.04</v>
      </c>
      <c r="B41" s="51" t="str">
        <v>No evidence.</v>
      </c>
      <c r="C41" s="51">
        <v>0</v>
      </c>
    </row>
    <row r="42" spans="1:3" ht="90" x14ac:dyDescent="0.25">
      <c r="A42" s="30">
        <v>7.05</v>
      </c>
      <c r="B42" s="51" t="str">
        <v>"The primary introduction pathway is through the ornamental plant trade... Secondarily L. grandiflora is dispersed as stem fragments carried by water and waterfowl (1)." "“L. grandiflora disperses primarily through the movement of plant parts in water (2)"</v>
      </c>
      <c r="C42" s="51" t="str">
        <v>(1) https://nas.er.usgs.gov/queries/factsheet.aspx?SpeciesID=253 (2) https://www.fws.gov/sites/default/files/documents/Ecological-Risk-Screening-Summary-Large-flower-Primrose-willow.pdf</v>
      </c>
    </row>
    <row r="43" spans="1:3" ht="60" x14ac:dyDescent="0.25">
      <c r="A43" s="30">
        <v>7.06</v>
      </c>
      <c r="B43" s="51" t="str">
        <v>"The primary introduction pathway is through the ornamental plant trade... Secondarily L. grandiflora is dispersed as stem fragments carried by water and waterfowl (1)."</v>
      </c>
      <c r="C43" s="51" t="str">
        <v>(1) https://nas.er.usgs.gov/queries/factsheet.aspx?SpeciesID=253</v>
      </c>
    </row>
    <row r="44" spans="1:3" x14ac:dyDescent="0.25">
      <c r="A44" s="30">
        <v>7.07</v>
      </c>
      <c r="B44" s="51" t="str">
        <v>No evidence.</v>
      </c>
      <c r="C44" s="51">
        <v>0</v>
      </c>
    </row>
    <row r="45" spans="1:3" ht="45" x14ac:dyDescent="0.25">
      <c r="A45" s="30">
        <v>7.08</v>
      </c>
      <c r="B45" s="50" t="str">
        <v>Seeds can be dispersed by being consumed by waterfowl.</v>
      </c>
      <c r="C45" s="51" t="str">
        <v>(1) https://nas.er.usgs.gov/queries/factsheet.aspx?SpeciesID=253</v>
      </c>
    </row>
    <row r="46" spans="1:3" ht="90" x14ac:dyDescent="0.25">
      <c r="A46" s="30">
        <v>8.01</v>
      </c>
      <c r="B46" s="50" t="str">
        <v>“Estimates put seed production at 10,000 seeds for every square meter of L. grandiflora (1)"  Taxon is prolific seed producer (2)</v>
      </c>
      <c r="C46" s="51" t="str">
        <v>(1) https://www.fws.gov/sites/default/files/documents/2025-04/ecological-risk-screening-summary-large-flower-primrose-willow.pdf (2) https://www.cabidigitallibrary.org/doi/full/10.1079/cabicompendium.109148</v>
      </c>
    </row>
    <row r="47" spans="1:3" ht="60" x14ac:dyDescent="0.25">
      <c r="A47" s="30">
        <v>8.02</v>
      </c>
      <c r="B47" s="51" t="str">
        <v>Taxon can "also repopulate disturbed areas from seed banks." (1) Little information known on how long propagules can persist in seed bank.</v>
      </c>
      <c r="C47" s="51" t="str">
        <v>(1) https://www.fws.gov/sites/default/files/documents/Ecological-Risk-Screening-Summary-Large-flower-Primrose-willow.pdf</v>
      </c>
    </row>
    <row r="48" spans="1:3" ht="225" x14ac:dyDescent="0.25">
      <c r="A48" s="30">
        <v>8.0299999999999994</v>
      </c>
      <c r="B48" s="51" t="str">
        <v>Noted reduced biomass of L. grandiflora after application of glyphosate, imazamox, and imazapyr (1). Taxon can be controlled with herbicides. (1)(2)(3)</v>
      </c>
      <c r="C48" s="51" t="str">
        <v>(1) 
  Hussner, A., Stiers, I., Verhofstad, M. J. J. M., Bakker, E. S., Grutters, B. M. C., Haury, J., van Valkenburg, J. L. C. H., Brundu, G., Newman, J., Clayton, J. S., Anderson, L. W. J., &amp; Hofstra, D. (2017). Management and control methods of invasive alien freshwater aquatic plants: A review. Aquatic Botany, 136, 112–137. https://doi.org/10.1016/j.aquabot.2016.08.002
(2) https://nas.er.usgs.gov/queries/greatlakes/FactSheet.aspx?Species_ID=253&amp;Potential=Y&amp;Type=2&amp;HUCNumber=DGreatLakes (3) https://www.cabidigitallibrary.org/doi/full/10.1079/cabicompendium.109148</v>
      </c>
    </row>
    <row r="49" spans="1:3" ht="90" x14ac:dyDescent="0.25">
      <c r="A49" s="30">
        <v>8.0399999999999991</v>
      </c>
      <c r="B49" s="51" t="str">
        <v>Taxon grows rapidly from vegetative cuttings and fragments and will disperse widely from plants that have been cut. (1)(2)</v>
      </c>
      <c r="C49" s="51" t="str">
        <v>(1) https://nas.er.usgs.gov/queries/greatlakes/FactSheet.aspx?Species_ID=253&amp;Potential=Y&amp;Type=2&amp;HUCNumber=DGreatLakes (2) https://www.cabidigitallibrary.org/doi/full/10.1079/cabicompendium.109148</v>
      </c>
    </row>
    <row r="50" spans="1:3" ht="76.5" x14ac:dyDescent="0.25">
      <c r="A50" s="30">
        <v>8.0500000000000007</v>
      </c>
      <c r="B50" s="50" t="str">
        <v xml:space="preserve">"The water primrose beetle Lysathia ludoviciana is relatively host-specific, and natural hosts include parrotfeather (Myriophyllum aquaticum), Ludwigia peploides and L. grandiflora." (1). Water primrose beetle is noted to occur throughout the Southeast U.S. including Florida. (2) </v>
      </c>
      <c r="C50" s="51" t="str">
        <v>(1) https://www.cabidigitallibrary.org/doi/full/10.1079/cabicompendium.109148 (2) https://www.gbif.org/species/1047602</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C72C3439-75BE-411A-8E6B-DF10E44BED25}">
  <ds:schemaRefs>
    <ds:schemaRef ds:uri="http://schemas.microsoft.com/sharepoint/v3/contenttype/forms"/>
  </ds:schemaRefs>
</ds:datastoreItem>
</file>

<file path=customXml/itemProps2.xml><?xml version="1.0" encoding="utf-8"?>
<ds:datastoreItem xmlns:ds="http://schemas.openxmlformats.org/officeDocument/2006/customXml" ds:itemID="{EE2705AB-40D8-4F14-BC28-EAC871E35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Seokmin Kim</cp:lastModifiedBy>
  <cp:revision/>
  <dcterms:created xsi:type="dcterms:W3CDTF">2021-06-15T16:34:22Z</dcterms:created>
  <dcterms:modified xsi:type="dcterms:W3CDTF">2025-07-01T18:32:03Z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