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5"/>
  <workbookPr defaultThemeVersion="166925"/>
  <mc:AlternateContent xmlns:mc="http://schemas.openxmlformats.org/markup-compatibility/2006">
    <mc:Choice Requires="x15">
      <x15ac:absPath xmlns:x15ac="http://schemas.microsoft.com/office/spreadsheetml/2010/11/ac" url="/Users/seokminkim/Desktop/Assessments/"/>
    </mc:Choice>
  </mc:AlternateContent>
  <xr:revisionPtr revIDLastSave="223" documentId="13_ncr:1_{C116D94F-4D03-3B40-8287-B36BBAD89845}" xr6:coauthVersionLast="47" xr6:coauthVersionMax="47" xr10:uidLastSave="{DCF3F29C-CEE0-4304-8864-322E9D422CF3}"/>
  <bookViews>
    <workbookView xWindow="1420" yWindow="760" windowWidth="27260" windowHeight="1714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C74" i="1" s="1"/>
  <c r="C53" i="3" a="1"/>
  <c r="C53" i="3" s="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D59" i="1" l="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<sst xmlns="http://schemas.openxmlformats.org/spreadsheetml/2006/main" count="337" uniqueCount="173">
  <si>
    <t>Species:</t>
  </si>
  <si>
    <t>Bruguiera gymnorhiza</t>
  </si>
  <si>
    <r>
      <rPr>
        <sz val="11"/>
        <color rgb="FF000000"/>
        <rFont val="Calibri"/>
      </rPr>
      <t>Assessment date:</t>
    </r>
    <r>
      <rPr>
        <sz val="11"/>
        <color rgb="FFFF0000"/>
        <rFont val="Calibri"/>
      </rPr>
      <t xml:space="preserve"> 01 Oct 2025</t>
    </r>
    <r>
      <rPr>
        <sz val="11"/>
        <color rgb="FF000000"/>
        <rFont val="Calibri"/>
      </rPr>
      <t xml:space="preserve"> Prepared by Cameron Deelstra</t>
    </r>
  </si>
  <si>
    <t>Number</t>
  </si>
  <si>
    <t>Question</t>
  </si>
  <si>
    <t>Answer</t>
  </si>
  <si>
    <t>Score</t>
  </si>
  <si>
    <t>Uncertainty</t>
  </si>
  <si>
    <t>Evidence</t>
  </si>
  <si>
    <t>Reference</t>
  </si>
  <si>
    <t>Is the species highly domesticated?</t>
  </si>
  <si>
    <t>n</t>
  </si>
  <si>
    <t>No evidence.</t>
  </si>
  <si>
    <t>Has the species become naturalised where grown?</t>
  </si>
  <si>
    <t>Does the species have weedy races?</t>
  </si>
  <si>
    <t>Species suited to Florida's USDA climate zones (1-low; 2-intermediate; 3-high)
       North Zone: suited to Zones 8, 9
       Central Zone: suited to Zones 9, 10
       South Zone: suited to Zone 10</t>
  </si>
  <si>
    <t>Taxon is suited for South Zone, moderately suited for Central Zone, and not well suited for North Zone.</t>
  </si>
  <si>
    <t>See attached climate suitability map</t>
  </si>
  <si>
    <t>Quality of climate match data (1-low; 2-intermediate; 3-high)</t>
  </si>
  <si>
    <t>Broad climate suitability (environmental versatility)</t>
  </si>
  <si>
    <t>Native or naturalized in habitats with periodic inundation
       North Zone: mean annual precipitation 50-70 inches
       Central Zone: mean annual precipitation 40-60 inches
       South Zone: mean annual precipitation 40-60 inches</t>
  </si>
  <si>
    <t>y</t>
  </si>
  <si>
    <t>Taxon is adapted to areas with these levels of inundations (1)(2).
"It prefers a mean annual rainfall in the range 1,500 - 6,000mm, but tolerates 1,000 - 8,000mm (2)."</t>
  </si>
  <si>
    <t>(1) https://www.doc-developpement-durable.org/file/Culture/Arbres-Bois-de-Rapport-Reforestation/FICHES_ARBRES/Arbres-non-classes/B.gymno-largeleafmangrove.pdf
(2) https://tropical.theferns.info/viewtropical.php?id=Bruguiera+gymnorhiza</t>
  </si>
  <si>
    <t>Does the species have a history of repeated introductions outside its natural range?</t>
  </si>
  <si>
    <t>Taxon has established in Florida and Hawaii (1)(2).
"At least five other species of mangroves or associated species were introduced to Hawaii in the early 1900s, and while none has thrived to the degree of R. mangle, at least two have established selfmaintaining populations (Bruguiera gymnorrhiza and Conocarpus erectus) (1)."</t>
  </si>
  <si>
    <t>(1) https://www.fs.usda.gov/psw/publications/allen/psw_1998_allen001.pdf
(2) https://florida.plantatlas.usf.edu/plant/species/4390</t>
  </si>
  <si>
    <t>Naturalized beyond native range</t>
  </si>
  <si>
    <t>Garden/amenity/disturbance weed</t>
  </si>
  <si>
    <t>Weed of agriculture</t>
  </si>
  <si>
    <t>Environmental weed</t>
  </si>
  <si>
    <t>Mangrove species, including taxon, alter coastal environments (1)(2).
"Known negative impacts include reduction in habitat quality for endangered waterbirdsuch as the Hawaiian stilt (Himantopus mexicanus knudseni), colonization of habitats to the detriment of native species (e.g. in anchialine pools), overgrowing native Hawaiian archaeological sites, and causing drainage and aesthetic problems (1)."</t>
  </si>
  <si>
    <t>(1) https://www.fs.usda.gov/psw/publications/allen/psw_1998_allen001.pdf
(2) https://www.dendra.io/articles/mangrove-restoration-challenges-and-opportunities</t>
  </si>
  <si>
    <t>Congeneric weed</t>
  </si>
  <si>
    <t>?</t>
  </si>
  <si>
    <t>Other mangrove species have high invasion potential (1).</t>
  </si>
  <si>
    <t>(1) https://www.fs.usda.gov/psw/publications/allen/psw_1998_allen001.pdf</t>
  </si>
  <si>
    <t>Produces spines, thorns or burrs</t>
  </si>
  <si>
    <t>Allelopathic</t>
  </si>
  <si>
    <t>Taxon may possess some allelopathic traits but more research is needed (1)(2).</t>
  </si>
  <si>
    <t>(1) https://researchoutput.csu.edu.au/ws/portalfiles/portal/26357490/43862_Sun_AllelopathyJ.pdf
(2) https://pmc.ncbi.nlm.nih.gov/articles/PMC9573700/</t>
  </si>
  <si>
    <t>Parasitic</t>
  </si>
  <si>
    <t>Unpalatable to grazing animals</t>
  </si>
  <si>
    <t>Taxon is noted to be grazed by livestock in some regions (1)(2).</t>
  </si>
  <si>
    <t xml:space="preserve">(1) https://apps.worldagroforestry.org/treedb/AFTPDFS/Bruguiera_gymnorhiza.PDF
(2) 
  Hoppe-Speer, S. C. L., &amp; Adams, J. B. (2015). Cattle browsing impacts on stunted Avicennia marina mangrove trees. Aquatic Botany, 121, 9–15. https://doi.org/10.1016/j.aquabot.2014.10.010
</t>
  </si>
  <si>
    <t>Toxic to animals</t>
  </si>
  <si>
    <t>Taxon has high levels of tannins and can be toxic in some cases, but is noted to be utilized as food and grazed by livestock in some regions (1)(2).</t>
  </si>
  <si>
    <t>(1) https://bioflux.com.ro/docs/2021.3721-3730.pdf
(2) https://apps.worldagroforestry.org/treedb/AFTPDFS/Bruguiera_gymnorhiza.PDF</t>
  </si>
  <si>
    <t>Host for recognised pests and pathogens</t>
  </si>
  <si>
    <t>"No serious diseases or pests are known for Bruguiera gymnorhiza. Seedlings may be attacked by mangrove crabs like Scylla serrata, Sesarma meinerti and Sesarma smithii. Sometimes plantations may suffer from caterpillars (1)."</t>
  </si>
  <si>
    <t>(1) https://prota.prota4u.org/protav8.asp?g=pe&amp;p=Bruguiera%20gymnorhiza</t>
  </si>
  <si>
    <t>Causes allergies or is otherwise toxic to humans</t>
  </si>
  <si>
    <t>Taxon has high levels of tannins and can be toxic in some cases, but is noted to be utilized as food in some regions (1)(2).
"The fruits are sometimes sold as a vegetable in local markets (1)."</t>
  </si>
  <si>
    <t>(1) https://tropical.theferns.info/viewtropical.php?id=Bruguiera+gymnorhiza
(2) https://bioflux.com.ro/docs/2021.3721-3730.pdf</t>
  </si>
  <si>
    <t>Creates a fire hazard in natural ecosystems</t>
  </si>
  <si>
    <t>Mangrove species, including B. gymnorhiza, do not tolerate fire, leading to reduced vegetation/fuel load in mangrove swamps and coastal habitats for years post-fire (1)(2).</t>
  </si>
  <si>
    <t>(1) https://www.doc-developpement-durable.org/file/Culture/Arbres-Bois-de-Rapport-Reforestation/FICHES_ARBRES/Arbres-non-classes/B.gymno-largeleafmangrove.pdf
(2) https://www.marine.nsw.gov.au/news-and-more/newsroom/news/2023-news/wetlands-under-fire-how-did-the-black-summer-bushfires-impact-estuarine-wetlands#:~:text=These%20mangroves%20on%20the%20Clyde,new%20plants%20in%20many%20areas.%E2%80%9D</t>
  </si>
  <si>
    <t>Is a shade tolerant plant at some stage of its life cycle</t>
  </si>
  <si>
    <t>Taxon is noted to be shade tolerant (1)(2).</t>
  </si>
  <si>
    <t>(1) https://apps.worldagroforestry.org/treedb/AFTPDFS/Bruguiera_gymnorhiza.PDF
(2) https://tropical.theferns.info/viewtropical.php?id=Bruguiera+gymnorhiza</t>
  </si>
  <si>
    <t>Grows on infertile soils (oligotrophic, limerock, or excessively draining soils).  North &amp; Central Zones: infertile soils; South Zone: shallow limerock or Histisols.</t>
  </si>
  <si>
    <t>Taxon grows well in a variety of soils (1)(2).
"It usually grows on somewhat dry, well-aerated soil but also on mud, sand and occasionally black, peaty soils (2)."</t>
  </si>
  <si>
    <t>(1) https://www.doc-developpement-durable.org/file/Culture/Arbres-Bois-de-Rapport-Reforestation/FICHES_ARBRES/Arbres-non-classes/B.gymno-largeleafmangrove.pdf
(2) https://prota.prota4u.org/protav8.asp?g=pe&amp;p=Bruguiera%20gymnorhiza</t>
  </si>
  <si>
    <t>Climbing or smothering growth habit</t>
  </si>
  <si>
    <t>Forms dense thickets</t>
  </si>
  <si>
    <t>Mangrove species, including taxon, will commonly grow in dense thickets (1)(2). Taxon seeds will germinate while still attached to parent plant then fall to the ground quickly establishing a dense thicket (1)(2).</t>
  </si>
  <si>
    <t>(1) https://www.mozambiqueflora.com/speciesdata/species.php?species_id=180220
(2) https://www.doc-developpement-durable.org/file/Culture/Arbres-Bois-de-Rapport-Reforestation/FICHES_ARBRES/Arbres-non-classes/B.gymno-largeleafmangrove.pdf</t>
  </si>
  <si>
    <t>Aquatic</t>
  </si>
  <si>
    <t>Taxon is an intertidal emergent species adapted to extended periods of innundation (1)(2).</t>
  </si>
  <si>
    <t>(1) https://www.mozambiqueflora.com/speciesdata/species.php?species_id=180220
(2) https://toptropicals.com/catalog/uid/bruguiera_gymnorrhiza.htm#:~:text=Botanical%20name:%20Bruguiera%20gymnorrhiza,more%20%2D%20about%20growing%20Lucky%20Mangrove.</t>
  </si>
  <si>
    <t>Grass</t>
  </si>
  <si>
    <t>Not of the Poaceae family</t>
  </si>
  <si>
    <t>Nitrogen fixing woody plant</t>
  </si>
  <si>
    <t>Taxon is noted to form mutualistic relationships with nitrogen-fixing bacteria (1).</t>
  </si>
  <si>
    <t>(1) Uchino, F., Hambali, G. G., &amp; Yatazawa, M. (1984). Nitrogen-Fixing Bacteria from Warty Lenticellate Bark of a Mangrove Tree, Bruguiera gymnorrhiza (L.) Lamk. Applied and environmental microbiology, 47(1), 44–48. https://doi.org/10.1128/aem.47.1.44-48.1984</t>
  </si>
  <si>
    <t>Geophyte</t>
  </si>
  <si>
    <t>Evidence of substantial reproductive failure in native habitat</t>
  </si>
  <si>
    <t>Produces viable seed</t>
  </si>
  <si>
    <t>Taxon produces viable seeds (1)(2).
"the seeds germinate while still attached to the tree. After the seedlings are released they fall vertically into the mud and become established rapidly (1)."</t>
  </si>
  <si>
    <t>(1) https://prota.prota4u.org/protav8.asp?g=pe&amp;p=Bruguiera%20gymnorhiza
(2) http://www.mangrove.at/bruguiera-gymnorhiza_large_leafed-orange-mangrove.html</t>
  </si>
  <si>
    <t>Hybridizes naturally</t>
  </si>
  <si>
    <t>Taxon is known to hybridize with B. sexangula and B. cylindrica(1)(2).</t>
  </si>
  <si>
    <t xml:space="preserve">(1) https://www.doc-developpement-durable.org/file/Culture/Arbres-Bois-de-Rapport-Reforestation/FICHES_ARBRES/Arbres-non-classes/B.gymno-largeleafmangrove.pdf
(2) 
  Shearman, J. R., Naktang, C., Sonthirod, C., Kongkachana, W., U-thoomporn, S., Jomchai, N., Maknual, C., Yamprasai, S., Promchoo, W., Ruang-areerate, P., Pootakham, W., &amp; Tangphatsornruang, S. (2022). Assembly of a hybrid mangrove, Bruguiera hainesii, and its two ancestral contributors, Bruguiera cylindrica and Bruguiera gymnorhiza. Genomics (San Diego, Calif.), 114(3), Article 110382. https://doi.org/10.1016/j.ygeno.2022.110382
</t>
  </si>
  <si>
    <t>Self-compatible or apomictic</t>
  </si>
  <si>
    <t>Taxon is self-pollinating (1)(2).
"The majority of the mangrove plants are hermaphrodites with perfect flowers containing both stamens and carpels. The Rhizophora, Bruguiera and Sonneratia species belong to this group (1)."</t>
  </si>
  <si>
    <t xml:space="preserve">(1) https://www.sciencedirect.com/topics/agricultural-and-biological-sciences/bruguiera#:~:text=Reproductive%20Adaptations,regular%20visitors%20of%20Bruguiera%20flowers.
(2) 
  Miryeganeh, M., Marlétaz, F., Gavriouchkina, D., &amp; Saze, H. (2022). De novo genome assembly and in natura epigenomics reveal salinity‐induced DNA methylation in the mangrove tree Bruguiera gymnorhiza. The New Phytologist, 233(5), 2094–2110. https://doi.org/10.1111/nph.17738
</t>
  </si>
  <si>
    <t>Requires specialist pollinators</t>
  </si>
  <si>
    <t>Taxon flowers attract generalist pollinators (1)(2).
"The flowers are visited by birds such as honey eaters and by insects (1)."</t>
  </si>
  <si>
    <t>(1) https://prota.prota4u.org/protav8.asp?g=pe&amp;p=Bruguiera%20gymnorhiza
(2) https://apps.worldagroforestry.org/treedb/AFTPDFS/Bruguiera_gymnorhiza.PDF</t>
  </si>
  <si>
    <t>Reproduction by vegetative propagation</t>
  </si>
  <si>
    <t>Taxon can but does not commonly reproduce vegetatively (1)(2).
"Propagation by cuttings is very difficult and trees suffer when branches are taken off (1)."</t>
  </si>
  <si>
    <t>(1) https://prota.prota4u.org/protav8.asp?g=pe&amp;p=Bruguiera%20gymnorhiza
(2) https://www.researchgate.net/publication/380935595_African_Journal_of_Biological_Sciences_Vegetative_propagation_of_Bruguiera_gymnorrhiza_An_effort_to_conserve_the_rare_degrading_black_mangrove_of_Indian_West_Coast</t>
  </si>
  <si>
    <t>Minimum generative time (years)</t>
  </si>
  <si>
    <t>4 or more</t>
  </si>
  <si>
    <t>Generation time may take approximatley 5 years (1)(2).
"Young Bruguiera gymnorhiza plants develop their first flowers with an age of about five years (2)."</t>
  </si>
  <si>
    <t>(1) https://www.researchgate.net/post/How_long_does_it_usually_takes_to_attain_reproductive_maturity_for_Bruguiera_gymnorrhiza_Nypa_fruticans_and_Rhizophora_mucronata#:~:text=All%20Answers%20(4),University%20of%20Burdwan
(2) http://www.mangrove.at/bruguiera-gymnorhiza_large_leafed-orange-mangrove.html#:~:text=Bruguiera%20gymnorhiza%20grows%20about%2020,always%20develops%20single%20axillary%20flowers.</t>
  </si>
  <si>
    <t>Propagules likely to be dispersed unintentionally (plants growing in heavily trafficked areas)</t>
  </si>
  <si>
    <t>Propagules dispersed intentionally by people</t>
  </si>
  <si>
    <t>Taxon has been cultivated in some regions for coastal erosion control and other uses (1)(2).
"one reason B. gymnorrhiza isnot more common in Hawaii may be that many trees are cut down to facilitate harvesting of the flowers (2)."</t>
  </si>
  <si>
    <t>(1) https://prota.prota4u.org/protav8.asp?g=pe&amp;p=Bruguiera%20gymnorhiza
(2) https://www.fs.usda.gov/psw/publications/allen/psw_1998_allen001.pdf</t>
  </si>
  <si>
    <t>Propagules likely to disperse as a produce contaminant</t>
  </si>
  <si>
    <t>Propagules adapted to wind dispersal</t>
  </si>
  <si>
    <t>Propagules water dispersed</t>
  </si>
  <si>
    <t>Taxon is adapted to hydrochory (1)(2).
"The fruits (seedlings) are dispersed by water. They can remain alive, floating in the water, for 5–6 months, which may explain the large area of distribution (1)."</t>
  </si>
  <si>
    <t>(1) https://prota.prota4u.org/protav8.asp?g=pe&amp;p=Bruguiera%20gymnorhiza
(2) https://www.doc-developpement-durable.org/file/Culture/Arbres-Bois-de-Rapport-Reforestation/FICHES_ARBRES/Arbres-non-classes/B.gymno-largeleafmangrove.pdf</t>
  </si>
  <si>
    <t>Propagules bird dispersed</t>
  </si>
  <si>
    <t>Propagules dispersed by other animals (externally)</t>
  </si>
  <si>
    <t>Propagules dispersed by other animals (internally)</t>
  </si>
  <si>
    <t>Prolific seed production</t>
  </si>
  <si>
    <t>Number of propagules produced annually is not well known.</t>
  </si>
  <si>
    <t>Evidence that a persistent propagule bank is formed (&gt;1 yr)</t>
  </si>
  <si>
    <t>Propagules are noted to float and only last for 5-6 months if not planted (1).
"Seedlings can remain alive, floating in the water, for 5 - 6 months, which possibly explains the large area of natural distribution (1)"</t>
  </si>
  <si>
    <t>(1) https://tropical.theferns.info/viewtropical.php?id=Bruguiera+gymnorhiza</t>
  </si>
  <si>
    <t>Well controlled by herbicides</t>
  </si>
  <si>
    <t>Taxon vulnerability to herbicides is not well known.</t>
  </si>
  <si>
    <t>Tolerates, or benefits from, mutilation or cultivation</t>
  </si>
  <si>
    <t>Taxon is noted to be harmed by cutting and mutilation (1).
"Propagation by cuttings is very difficult and trees suffer when branches are taken off (1)."</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</si>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</sst>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0"/>
      <color theme="1"/>
      <name val="Calibri"/>
      <family val="2"/>
    </font>
    <font>
      <b/>
      <sz val="11"/>
      <color rgb="FFFF0000"/>
      <name val="Calibri"/>
      <family val="2"/>
      <scheme val="minor"/>
    </font>
    <font>
      <sz val="11"/>
      <color rgb="FF000000"/>
      <name val="Calibri"/>
    </font>
    <font>
      <sz val="11"/>
      <color rgb="FFFF0000"/>
      <name val="Calibri"/>
    </font>
    <font>
      <sz val="11"/>
      <color theme="1"/>
      <name val="Calibri"/>
    </font>
    <font>
      <sz val="11"/>
      <color rgb="FF000000"/>
      <name val="Calibri"/>
      <family val="2"/>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5">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5" fillId="6" borderId="0" xfId="0" applyFont="1" applyFill="1" applyAlignment="1" applyProtection="1">
      <alignment wrapText="1"/>
      <protection locked="0"/>
    </xf>
    <xf numFmtId="0" fontId="26" fillId="0" borderId="0" xfId="0" applyFont="1" applyAlignment="1" applyProtection="1">
      <alignment horizontal="center" vertical="top" wrapText="1"/>
      <protection locked="0"/>
    </xf>
    <xf numFmtId="0" fontId="29" fillId="0" borderId="0" xfId="0" applyFont="1" applyAlignment="1" applyProtection="1">
      <alignment wrapText="1"/>
      <protection locked="0"/>
    </xf>
    <xf numFmtId="0" fontId="30" fillId="0" borderId="0" xfId="0" applyFont="1" applyAlignment="1" applyProtection="1">
      <alignment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4" xfId="0" applyBorder="1" applyAlignment="1">
      <alignment vertical="top"/>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applyAlignment="1">
      <alignment horizontal="left" vertical="top"/>
    </xf>
    <xf numFmtId="0" fontId="0" fillId="0" borderId="0" xfId="0" applyAlignment="1">
      <alignment horizontal="lef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xf numFmtId="0" fontId="0" fillId="0" borderId="14" xfId="0" applyBorder="1" applyAlignment="1"/>
    <xf numFmtId="0" fontId="0" fillId="0" borderId="0" xfId="0" applyAlignment="1"/>
    <xf numFmtId="0" fontId="0" fillId="0" borderId="15" xfId="0" applyBorder="1" applyAlignment="1"/>
    <xf numFmtId="0" fontId="0" fillId="0" borderId="33" xfId="0" applyBorder="1" applyAlignment="1"/>
    <xf numFmtId="0" fontId="0" fillId="0" borderId="16" xfId="0" applyBorder="1" applyAlignment="1"/>
    <xf numFmtId="0" fontId="0" fillId="0" borderId="20" xfId="0" applyBorder="1" applyAlignment="1"/>
    <xf numFmtId="0" fontId="0" fillId="0" borderId="21" xfId="0" applyBorder="1" applyAlignment="1"/>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zoomScale="125" zoomScaleNormal="125" workbookViewId="0">
      <pane xSplit="1" topLeftCell="B1" activePane="topRight" state="frozen"/>
      <selection pane="topRight" activeCell="C3" sqref="C3"/>
    </sheetView>
  </sheetViews>
  <sheetFormatPr defaultColWidth="9.140625" defaultRowHeight="15"/>
  <cols>
    <col min="1" max="1" width="9" style="58" customWidth="1"/>
    <col min="2" max="2" width="45.42578125" style="58" customWidth="1"/>
    <col min="3" max="3" width="12.42578125" style="58" customWidth="1"/>
    <col min="4" max="4" width="9.42578125" style="58" bestFit="1" customWidth="1"/>
    <col min="5" max="5" width="12.28515625" style="65" hidden="1" customWidth="1"/>
    <col min="6" max="6" width="61.42578125" style="58" customWidth="1"/>
    <col min="7" max="7" width="43.28515625" style="58" customWidth="1"/>
    <col min="8" max="8" width="27.140625" style="85" customWidth="1"/>
    <col min="9" max="16384" width="9.140625" style="58"/>
  </cols>
  <sheetData>
    <row r="1" spans="1:8" ht="30" customHeight="1">
      <c r="A1" s="27" t="s">
        <v>0</v>
      </c>
      <c r="B1" s="85" t="s">
        <v>1</v>
      </c>
      <c r="C1" s="56"/>
      <c r="D1" s="56"/>
      <c r="E1" s="57"/>
      <c r="F1" s="102" t="s">
        <v>2</v>
      </c>
      <c r="G1" s="56"/>
    </row>
    <row r="2" spans="1:8" s="17" customFormat="1" ht="30.75" customHeight="1">
      <c r="A2" s="18" t="s">
        <v>3</v>
      </c>
      <c r="B2" s="18" t="s">
        <v>4</v>
      </c>
      <c r="C2" s="18" t="s">
        <v>5</v>
      </c>
      <c r="D2" s="18" t="s">
        <v>6</v>
      </c>
      <c r="E2" s="88" t="s">
        <v>7</v>
      </c>
      <c r="F2" s="18" t="s">
        <v>8</v>
      </c>
      <c r="G2" s="18" t="s">
        <v>9</v>
      </c>
      <c r="H2" s="101"/>
    </row>
    <row r="3" spans="1:8">
      <c r="A3" s="66">
        <v>1.01</v>
      </c>
      <c r="B3" s="67" t="s">
        <v>10</v>
      </c>
      <c r="C3" s="56" t="s">
        <v>11</v>
      </c>
      <c r="D3" s="59">
        <f>IF(C3="Y",-3,IF(C3="N",0," "))</f>
        <v>0</v>
      </c>
      <c r="E3" s="57"/>
      <c r="F3" s="99" t="s">
        <v>12</v>
      </c>
      <c r="G3" s="64"/>
    </row>
    <row r="4" spans="1:8" ht="15.95">
      <c r="A4" s="66">
        <v>1.02</v>
      </c>
      <c r="B4" s="67" t="s">
        <v>13</v>
      </c>
      <c r="C4" s="56"/>
      <c r="D4" s="59" t="str">
        <f>IF(C4="n",VLOOKUP(LUT!C5,LUT!C4:E52,2),IF(C4="y",VLOOKUP(LUT!C5,LUT!C4:E52,3)," "))</f>
        <v xml:space="preserve"> </v>
      </c>
      <c r="E4" s="57"/>
      <c r="F4" s="64"/>
      <c r="G4" s="64"/>
    </row>
    <row r="5" spans="1:8" ht="15.95">
      <c r="A5" s="66">
        <v>1.03</v>
      </c>
      <c r="B5" s="67" t="s">
        <v>14</v>
      </c>
      <c r="C5" s="56"/>
      <c r="D5" s="59" t="str">
        <f>IF(C5="Y",1,IF(C5="N",-1," "))</f>
        <v xml:space="preserve"> </v>
      </c>
      <c r="E5" s="57"/>
      <c r="F5" s="64"/>
      <c r="G5" s="64"/>
    </row>
    <row r="6" spans="1:8" ht="76.5">
      <c r="A6" s="66">
        <v>2.0099999999999998</v>
      </c>
      <c r="B6" s="67" t="s">
        <v>15</v>
      </c>
      <c r="C6" s="56">
        <v>1</v>
      </c>
      <c r="D6" s="60"/>
      <c r="E6" s="57"/>
      <c r="F6" s="99" t="s">
        <v>16</v>
      </c>
      <c r="G6" s="99" t="s">
        <v>17</v>
      </c>
    </row>
    <row r="7" spans="1:8" ht="30.75">
      <c r="A7" s="66">
        <v>2.02</v>
      </c>
      <c r="B7" s="67" t="s">
        <v>18</v>
      </c>
      <c r="C7" s="56">
        <v>2</v>
      </c>
      <c r="D7" s="60"/>
      <c r="E7" s="57"/>
      <c r="F7" s="99" t="s">
        <v>17</v>
      </c>
      <c r="G7" s="64"/>
    </row>
    <row r="8" spans="1:8">
      <c r="A8" s="66">
        <v>2.0299999999999998</v>
      </c>
      <c r="B8" s="67" t="s">
        <v>19</v>
      </c>
      <c r="C8" s="56" t="s">
        <v>11</v>
      </c>
      <c r="D8" s="59">
        <f>IF(C8="y",1,IF(C8="n",0," "))</f>
        <v>0</v>
      </c>
      <c r="E8" s="57"/>
      <c r="F8" s="99" t="s">
        <v>17</v>
      </c>
      <c r="G8" s="99"/>
    </row>
    <row r="9" spans="1:8" ht="124.5" customHeight="1">
      <c r="A9" s="66">
        <v>2.04</v>
      </c>
      <c r="B9" s="67" t="s">
        <v>20</v>
      </c>
      <c r="C9" s="56" t="s">
        <v>21</v>
      </c>
      <c r="D9" s="59">
        <f>IF(C9="y",1,IF(C9="n",0," "))</f>
        <v>1</v>
      </c>
      <c r="E9" s="57"/>
      <c r="F9" s="99" t="s">
        <v>22</v>
      </c>
      <c r="G9" s="99" t="s">
        <v>23</v>
      </c>
    </row>
    <row r="10" spans="1:8" ht="91.5">
      <c r="A10" s="66">
        <v>2.0499999999999998</v>
      </c>
      <c r="B10" s="67" t="s">
        <v>24</v>
      </c>
      <c r="C10" s="56" t="s">
        <v>21</v>
      </c>
      <c r="D10" s="60"/>
      <c r="E10" s="57"/>
      <c r="F10" s="56" t="s">
        <v>25</v>
      </c>
      <c r="G10" s="56" t="s">
        <v>26</v>
      </c>
    </row>
    <row r="11" spans="1:8" ht="91.5">
      <c r="A11" s="66">
        <v>3.01</v>
      </c>
      <c r="B11" s="67" t="s">
        <v>27</v>
      </c>
      <c r="C11" s="56" t="s">
        <v>21</v>
      </c>
      <c r="D11" s="59">
        <f>IF(C11="n",LOOKUP($C$10,LUT!$I$13:$L$13,LUT!$I$14:$L$14),IF(AND(C11="y",AND($C$6=1,$C$7=1)),2,IF(AND(C11="y",AND($C$6=1,$C$7=2)),1,IF(AND(C11="y",AND($C$6=1,$C$7=3)),1,IF(AND(C11="y",AND($C$6=2,$C$7=1)),2,IF(AND(C11="y",AND($C$6=2,$C$7=2)),2,IF(AND(C11="y",AND($C$6=2,$C$7=3)),1,IF(AND(C11="y",AND($C$6=3,$C$7=1)),2,IF(AND(C11="y",AND($C$6=3,$C$7=2)),2,IF(AND(C11="y",AND($C$6=3,$C$7=3)),2,""))))))))))</f>
        <v>1</v>
      </c>
      <c r="E11" s="57"/>
      <c r="F11" s="56" t="s">
        <v>25</v>
      </c>
      <c r="G11" s="56" t="s">
        <v>26</v>
      </c>
    </row>
    <row r="12" spans="1:8">
      <c r="A12" s="66">
        <v>3.02</v>
      </c>
      <c r="B12" s="67" t="s">
        <v>28</v>
      </c>
      <c r="C12" s="56" t="s">
        <v>11</v>
      </c>
      <c r="D12" s="59">
        <f>IF(C12="n",LOOKUP($C$10,LUT!$I$13:$L$13,LUT!$I$15:$L$15),IF(AND(C12="y",AND($C$6=1,$C$7=1)),2,IF(AND(C12="y",AND($C$6=1,$C$7=2)),1,IF(AND(C12="y",AND($C$6=1,$C$7=3)),1,IF(AND(C12="y",AND($C$6=2,$C$7=1)),2,IF(AND(C12="y",AND($C$6=2,$C$7=2)),2,IF(AND(C12="y",AND($C$6=2,$C$7=3)),1,IF(AND(C12="y",AND($C$6=3,$C$7=1)),2,IF(AND(C12="y",AND($C$6=3,$C$7=2)),2,IF(AND(C12="y",AND($C$6=3,$C$7=3)),2,""))))))))))</f>
        <v>0</v>
      </c>
      <c r="E12" s="57"/>
      <c r="F12" s="64" t="s">
        <v>12</v>
      </c>
      <c r="G12" s="56"/>
    </row>
    <row r="13" spans="1:8">
      <c r="A13" s="66">
        <v>3.03</v>
      </c>
      <c r="B13" s="67" t="s">
        <v>29</v>
      </c>
      <c r="C13" s="56" t="s">
        <v>11</v>
      </c>
      <c r="D13" s="59">
        <f>IF(C13="n",LOOKUP($C$10,LUT!$I$13:$L$13,LUT!$I$15:$L$15),IF(AND(C13="y",AND($C$6=1,$C$7=1)),4,IF(AND(C13="y",AND($C$6=1,$C$7=2)),2,IF(AND(C13="y",AND($C$6=1,$C$7=3)),1,IF(AND(C13="y",AND($C$6=2,$C$7=1)),4,IF(AND(C13="y",AND($C$6=2,$C$7=2)),3,IF(AND(C13="y",AND($C$6=2,$C$7=3)),2,IF(AND(C13="y",AND($C$6=3,$C$7=1)),4,IF(AND(C13="y",AND($C$6=3,$C$7=2)),4,IF(AND(C13="y",AND($C$6=3,$C$7=3)),4,""))))))))))</f>
        <v>0</v>
      </c>
      <c r="E13" s="57"/>
      <c r="F13" s="64" t="s">
        <v>12</v>
      </c>
      <c r="G13" s="64"/>
    </row>
    <row r="14" spans="1:8" ht="106.5">
      <c r="A14" s="66">
        <v>3.04</v>
      </c>
      <c r="B14" s="67" t="s">
        <v>30</v>
      </c>
      <c r="C14" s="56" t="s">
        <v>21</v>
      </c>
      <c r="D14" s="59">
        <f>IF(C14="n",LOOKUP($C$10,LUT!$I$13:$L$13,LUT!$I$15:$L$15),IF(AND(C14="y",AND($C$6=1,$C$7=1)),4,IF(AND(C14="y",AND($C$6=1,$C$7=2)),2,IF(AND(C14="y",AND($C$6=1,$C$7=3)),1,IF(AND(C14="y",AND($C$6=2,$C$7=1)),4,IF(AND(C14="y",AND($C$6=2,$C$7=2)),3,IF(AND(C14="y",AND($C$6=2,$C$7=3)),2,IF(AND(C14="y",AND($C$6=3,$C$7=1)),4,IF(AND(C14="y",AND($C$6=3,$C$7=2)),4,IF(AND(C14="y",AND($C$6=3,$C$7=3)),4,""))))))))))</f>
        <v>2</v>
      </c>
      <c r="E14" s="57"/>
      <c r="F14" s="64" t="s">
        <v>31</v>
      </c>
      <c r="G14" s="64" t="s">
        <v>32</v>
      </c>
    </row>
    <row r="15" spans="1:8" ht="30.75">
      <c r="A15" s="66">
        <v>3.05</v>
      </c>
      <c r="B15" s="67" t="s">
        <v>33</v>
      </c>
      <c r="C15" s="56" t="s">
        <v>34</v>
      </c>
      <c r="D15" s="59" t="str">
        <f>IF(C15="n",LOOKUP($C$10,LUT!$I$13:$L$13,LUT!$I$15:$L$15),IF(AND(C15="y",AND($C$6=1,$C$7=1)),2,IF(AND(C15="y",AND($C$6=1,$C$7=2)),1,IF(AND(C15="y",AND($C$6=1,$C$7=3)),1,IF(AND(C15="y",AND($C$6=2,$C$7=1)),2,IF(AND(C15="y",AND($C$6=2,$C$7=2)),2,IF(AND(C15="y",AND($C$6=2,$C$7=3)),1,IF(AND(C15="y",AND($C$6=3,$C$7=1)),2,IF(AND(C15="y",AND($C$6=3,$C$7=2)),2,IF(AND(C15="y",AND($C$6=3,$C$7=3)),2,""))))))))))</f>
        <v/>
      </c>
      <c r="E15" s="57"/>
      <c r="F15" s="64" t="s">
        <v>35</v>
      </c>
      <c r="G15" s="64" t="s">
        <v>36</v>
      </c>
    </row>
    <row r="16" spans="1:8">
      <c r="A16" s="66">
        <v>4.01</v>
      </c>
      <c r="B16" s="67" t="s">
        <v>37</v>
      </c>
      <c r="C16" s="56" t="s">
        <v>11</v>
      </c>
      <c r="D16" s="59">
        <f>IF(C16="y",VLOOKUP(LUT!C17,LUT!$C$4:$E$52,3),IF(C16="n",VLOOKUP(LUT!C17,LUT!$C$4:$E$52,2)," "))</f>
        <v>0</v>
      </c>
      <c r="E16" s="57"/>
      <c r="F16" s="64" t="s">
        <v>12</v>
      </c>
      <c r="G16" s="64"/>
    </row>
    <row r="17" spans="1:7" ht="91.5">
      <c r="A17" s="66">
        <v>4.0199999999999996</v>
      </c>
      <c r="B17" s="67" t="s">
        <v>38</v>
      </c>
      <c r="C17" s="56" t="s">
        <v>34</v>
      </c>
      <c r="D17" s="59" t="str">
        <f>IF(C17="y",VLOOKUP(LUT!C18,LUT!C4:E52,3),IF(C17="n",VLOOKUP(LUT!C18,LUT!C4:E52,2)," "))</f>
        <v xml:space="preserve"> </v>
      </c>
      <c r="E17" s="57"/>
      <c r="F17" s="64" t="s">
        <v>39</v>
      </c>
      <c r="G17" s="64" t="s">
        <v>40</v>
      </c>
    </row>
    <row r="18" spans="1:7">
      <c r="A18" s="66">
        <v>4.03</v>
      </c>
      <c r="B18" s="67" t="s">
        <v>41</v>
      </c>
      <c r="C18" s="56" t="s">
        <v>11</v>
      </c>
      <c r="D18" s="59">
        <f>IF(C18="y",VLOOKUP(LUT!C19,LUT!$C$4:$E$52,3),IF(C18="n",VLOOKUP(LUT!C19,LUT!$C$4:$E$52,2)," "))</f>
        <v>0</v>
      </c>
      <c r="E18" s="57"/>
      <c r="F18" s="64" t="s">
        <v>12</v>
      </c>
      <c r="G18" s="64"/>
    </row>
    <row r="19" spans="1:7" ht="152.25">
      <c r="A19" s="66">
        <v>4.04</v>
      </c>
      <c r="B19" s="67" t="s">
        <v>42</v>
      </c>
      <c r="C19" s="56" t="s">
        <v>11</v>
      </c>
      <c r="D19" s="59">
        <f>IF(C19="y",VLOOKUP(LUT!C20,LUT!$C$4:$E$52,3),IF(C19="n",VLOOKUP(LUT!C20,LUT!$C$4:$E$52,2)," "))</f>
        <v>-1</v>
      </c>
      <c r="E19" s="57"/>
      <c r="F19" s="64" t="s">
        <v>43</v>
      </c>
      <c r="G19" s="64" t="s">
        <v>44</v>
      </c>
    </row>
    <row r="20" spans="1:7" ht="76.5">
      <c r="A20" s="66">
        <v>4.05</v>
      </c>
      <c r="B20" s="67" t="s">
        <v>45</v>
      </c>
      <c r="C20" s="56" t="s">
        <v>11</v>
      </c>
      <c r="D20" s="59">
        <f>IF(C20="y",VLOOKUP(LUT!C21,LUT!$C$4:$E$52,3),IF(C20="n",VLOOKUP(LUT!C21,LUT!$C$4:$E$52,2)," "))</f>
        <v>0</v>
      </c>
      <c r="E20" s="57"/>
      <c r="F20" s="64" t="s">
        <v>46</v>
      </c>
      <c r="G20" s="64" t="s">
        <v>47</v>
      </c>
    </row>
    <row r="21" spans="1:7" ht="60.75">
      <c r="A21" s="66">
        <v>4.0599999999999996</v>
      </c>
      <c r="B21" s="67" t="s">
        <v>48</v>
      </c>
      <c r="C21" s="56" t="s">
        <v>11</v>
      </c>
      <c r="D21" s="59">
        <f>IF(C21="y",VLOOKUP(LUT!C22,LUT!$C$4:$E$52,3),IF(C21="n",VLOOKUP(LUT!C22,LUT!$C$4:$E$52,2)," "))</f>
        <v>0</v>
      </c>
      <c r="E21" s="57"/>
      <c r="F21" s="64" t="s">
        <v>49</v>
      </c>
      <c r="G21" s="64" t="s">
        <v>50</v>
      </c>
    </row>
    <row r="22" spans="1:7" ht="76.5">
      <c r="A22" s="66">
        <v>4.07</v>
      </c>
      <c r="B22" s="67" t="s">
        <v>51</v>
      </c>
      <c r="C22" s="56" t="s">
        <v>11</v>
      </c>
      <c r="D22" s="59">
        <f>IF(C22="y",VLOOKUP(LUT!C23,LUT!$C$4:$E$52,3),IF(C22="n",VLOOKUP(LUT!C23,LUT!$C$4:$E$52,2)," "))</f>
        <v>0</v>
      </c>
      <c r="E22" s="57"/>
      <c r="F22" s="64" t="s">
        <v>52</v>
      </c>
      <c r="G22" s="64" t="s">
        <v>53</v>
      </c>
    </row>
    <row r="23" spans="1:7" ht="183">
      <c r="A23" s="66">
        <v>4.08</v>
      </c>
      <c r="B23" s="67" t="s">
        <v>54</v>
      </c>
      <c r="C23" s="56" t="s">
        <v>11</v>
      </c>
      <c r="D23" s="59">
        <f>IF(C23="y",VLOOKUP(LUT!C24,LUT!$C$4:$E$52,3),IF(C23="n",VLOOKUP(LUT!C24,LUT!$C$4:$E$52,2)," "))</f>
        <v>0</v>
      </c>
      <c r="E23" s="57"/>
      <c r="F23" s="64" t="s">
        <v>55</v>
      </c>
      <c r="G23" s="64" t="s">
        <v>56</v>
      </c>
    </row>
    <row r="24" spans="1:7" ht="76.5">
      <c r="A24" s="66">
        <v>4.09</v>
      </c>
      <c r="B24" s="67" t="s">
        <v>57</v>
      </c>
      <c r="C24" s="56" t="s">
        <v>21</v>
      </c>
      <c r="D24" s="59">
        <f>IF(C24="y",VLOOKUP(LUT!C25,LUT!$C$4:$E$52,3),IF(C24="n",VLOOKUP(LUT!C25,LUT!$C$4:$E$52,2)," "))</f>
        <v>1</v>
      </c>
      <c r="E24" s="57"/>
      <c r="F24" s="64" t="s">
        <v>58</v>
      </c>
      <c r="G24" s="64" t="s">
        <v>59</v>
      </c>
    </row>
    <row r="25" spans="1:7" ht="106.5">
      <c r="A25" s="66">
        <v>4.0999999999999996</v>
      </c>
      <c r="B25" s="68" t="s">
        <v>60</v>
      </c>
      <c r="C25" s="56" t="s">
        <v>21</v>
      </c>
      <c r="D25" s="59">
        <f>IF(C25="y",VLOOKUP(LUT!C26,LUT!$C$4:$E$52,3),IF(C25="n",VLOOKUP(LUT!C26,LUT!$C$4:$E$52,2)," "))</f>
        <v>1</v>
      </c>
      <c r="E25" s="57"/>
      <c r="F25" s="64" t="s">
        <v>61</v>
      </c>
      <c r="G25" s="64" t="s">
        <v>62</v>
      </c>
    </row>
    <row r="26" spans="1:7">
      <c r="A26" s="66">
        <v>4.1100000000000003</v>
      </c>
      <c r="B26" s="67" t="s">
        <v>63</v>
      </c>
      <c r="C26" s="56" t="s">
        <v>11</v>
      </c>
      <c r="D26" s="59">
        <f>IF(C26="y",VLOOKUP(LUT!C27,LUT!$C$4:$E$52,3),IF(C26="n",VLOOKUP(LUT!C27,LUT!$C$4:$E$52,2)," "))</f>
        <v>0</v>
      </c>
      <c r="E26" s="57"/>
      <c r="F26" s="64" t="s">
        <v>12</v>
      </c>
      <c r="G26" s="64"/>
    </row>
    <row r="27" spans="1:7" ht="106.5">
      <c r="A27" s="66">
        <v>4.12</v>
      </c>
      <c r="B27" s="67" t="s">
        <v>64</v>
      </c>
      <c r="C27" s="56" t="s">
        <v>21</v>
      </c>
      <c r="D27" s="59">
        <f>IF(C27="y",VLOOKUP(LUT!C28,LUT!$C$4:$E$52,3),IF(C27="n",VLOOKUP(LUT!C28,LUT!$C$4:$E$52,2)," "))</f>
        <v>1</v>
      </c>
      <c r="E27" s="57"/>
      <c r="F27" s="64" t="s">
        <v>65</v>
      </c>
      <c r="G27" s="64" t="s">
        <v>66</v>
      </c>
    </row>
    <row r="28" spans="1:7" ht="121.5">
      <c r="A28" s="66">
        <v>5.01</v>
      </c>
      <c r="B28" s="67" t="s">
        <v>67</v>
      </c>
      <c r="C28" s="56" t="s">
        <v>21</v>
      </c>
      <c r="D28" s="59">
        <f>IF(C28="y",VLOOKUP(LUT!C29,LUT!$C$4:$E$52,3),IF(C28="n",VLOOKUP(LUT!C29,LUT!$C$4:$E$52,2)," "))</f>
        <v>5</v>
      </c>
      <c r="E28" s="57"/>
      <c r="F28" s="64" t="s">
        <v>68</v>
      </c>
      <c r="G28" s="64" t="s">
        <v>69</v>
      </c>
    </row>
    <row r="29" spans="1:7">
      <c r="A29" s="66">
        <v>5.0199999999999996</v>
      </c>
      <c r="B29" s="67" t="s">
        <v>70</v>
      </c>
      <c r="C29" s="56" t="s">
        <v>11</v>
      </c>
      <c r="D29" s="59">
        <f>IF(C29="y",VLOOKUP(LUT!C30,LUT!$C$4:$E$52,3),IF(C29="n",VLOOKUP(LUT!C30,LUT!$C$4:$E$52,2)," "))</f>
        <v>0</v>
      </c>
      <c r="E29" s="57"/>
      <c r="F29" s="103" t="s">
        <v>71</v>
      </c>
      <c r="G29" s="64"/>
    </row>
    <row r="30" spans="1:7" ht="91.5">
      <c r="A30" s="66">
        <v>5.03</v>
      </c>
      <c r="B30" s="67" t="s">
        <v>72</v>
      </c>
      <c r="C30" s="56" t="s">
        <v>21</v>
      </c>
      <c r="D30" s="59">
        <f>IF(C30="y",VLOOKUP(LUT!C31,LUT!$C$4:$E$52,3),IF(C30="n",VLOOKUP(LUT!C31,LUT!$C$4:$E$52,2)," "))</f>
        <v>1</v>
      </c>
      <c r="E30" s="57"/>
      <c r="F30" s="64" t="s">
        <v>73</v>
      </c>
      <c r="G30" s="64" t="s">
        <v>74</v>
      </c>
    </row>
    <row r="31" spans="1:7">
      <c r="A31" s="66">
        <v>5.04</v>
      </c>
      <c r="B31" s="67" t="s">
        <v>75</v>
      </c>
      <c r="C31" s="56" t="s">
        <v>11</v>
      </c>
      <c r="D31" s="59">
        <f>IF(C31="y",VLOOKUP(LUT!C32,LUT!$C$4:$E$52,3),IF(C31="n",VLOOKUP(LUT!C32,LUT!$C$4:$E$52,2)," "))</f>
        <v>0</v>
      </c>
      <c r="E31" s="57"/>
      <c r="F31" s="64" t="s">
        <v>12</v>
      </c>
      <c r="G31" s="64"/>
    </row>
    <row r="32" spans="1:7" ht="30.75">
      <c r="A32" s="66">
        <v>6.01</v>
      </c>
      <c r="B32" s="67" t="s">
        <v>76</v>
      </c>
      <c r="C32" s="56" t="s">
        <v>11</v>
      </c>
      <c r="D32" s="59">
        <f>IF(C32="y",VLOOKUP(LUT!C33,LUT!$C$4:$E$52,3),IF(C32="n",VLOOKUP(LUT!C33,LUT!$C$4:$E$52,2)," "))</f>
        <v>0</v>
      </c>
      <c r="E32" s="57"/>
      <c r="F32" s="64" t="s">
        <v>12</v>
      </c>
      <c r="G32" s="64"/>
    </row>
    <row r="33" spans="1:7" ht="91.5">
      <c r="A33" s="66">
        <v>6.02</v>
      </c>
      <c r="B33" s="67" t="s">
        <v>77</v>
      </c>
      <c r="C33" s="56" t="s">
        <v>21</v>
      </c>
      <c r="D33" s="59">
        <f>IF(C33="y",VLOOKUP(LUT!C34,LUT!$C$4:$E$52,3),IF(C33="n",VLOOKUP(LUT!C34,LUT!$C$4:$E$52,2)," "))</f>
        <v>1</v>
      </c>
      <c r="E33" s="57"/>
      <c r="F33" s="64" t="s">
        <v>78</v>
      </c>
      <c r="G33" s="64" t="s">
        <v>79</v>
      </c>
    </row>
    <row r="34" spans="1:7" ht="259.5">
      <c r="A34" s="66">
        <v>6.03</v>
      </c>
      <c r="B34" s="67" t="s">
        <v>80</v>
      </c>
      <c r="C34" s="56" t="s">
        <v>21</v>
      </c>
      <c r="D34" s="59">
        <f>IF(C34="y",VLOOKUP(LUT!C35,LUT!$C$4:$E$52,3),IF(C34="n",VLOOKUP(LUT!C35,LUT!$C$4:$E$52,2)," "))</f>
        <v>1</v>
      </c>
      <c r="E34" s="57"/>
      <c r="F34" s="64" t="s">
        <v>81</v>
      </c>
      <c r="G34" s="64" t="s">
        <v>82</v>
      </c>
    </row>
    <row r="35" spans="1:7" ht="229.5">
      <c r="A35" s="66">
        <v>6.04</v>
      </c>
      <c r="B35" s="67" t="s">
        <v>83</v>
      </c>
      <c r="C35" s="56" t="s">
        <v>21</v>
      </c>
      <c r="D35" s="59">
        <f>IF(C35="y",VLOOKUP(LUT!C36,LUT!$C$4:$E$52,3),IF(C35="n",VLOOKUP(LUT!C36,LUT!$C$4:$E$52,2)," "))</f>
        <v>1</v>
      </c>
      <c r="E35" s="57"/>
      <c r="F35" s="64" t="s">
        <v>84</v>
      </c>
      <c r="G35" s="64" t="s">
        <v>85</v>
      </c>
    </row>
    <row r="36" spans="1:7" ht="76.5">
      <c r="A36" s="66">
        <v>6.05</v>
      </c>
      <c r="B36" s="67" t="s">
        <v>86</v>
      </c>
      <c r="C36" s="56" t="s">
        <v>11</v>
      </c>
      <c r="D36" s="59">
        <f>IF(C36="y",VLOOKUP(LUT!C37,LUT!$C$4:$E$52,3),IF(C36="n",VLOOKUP(LUT!C37,LUT!$C$4:$E$52,2)," "))</f>
        <v>0</v>
      </c>
      <c r="E36" s="57"/>
      <c r="F36" s="64" t="s">
        <v>87</v>
      </c>
      <c r="G36" s="64" t="s">
        <v>88</v>
      </c>
    </row>
    <row r="37" spans="1:7" ht="137.25">
      <c r="A37" s="66">
        <v>6.06</v>
      </c>
      <c r="B37" s="67" t="s">
        <v>89</v>
      </c>
      <c r="C37" s="56" t="s">
        <v>34</v>
      </c>
      <c r="D37" s="59" t="str">
        <f>IF(C37="y",VLOOKUP(LUT!C38,LUT!$C$4:$E$52,3),IF(C37="n",VLOOKUP(LUT!C38,LUT!$C$4:$E$52,2)," "))</f>
        <v xml:space="preserve"> </v>
      </c>
      <c r="E37" s="57"/>
      <c r="F37" s="64" t="s">
        <v>90</v>
      </c>
      <c r="G37" s="64" t="s">
        <v>91</v>
      </c>
    </row>
    <row r="38" spans="1:7" ht="198">
      <c r="A38" s="66">
        <v>6.07</v>
      </c>
      <c r="B38" s="67" t="s">
        <v>92</v>
      </c>
      <c r="C38" s="84" t="s">
        <v>93</v>
      </c>
      <c r="D38" s="59">
        <f>IF(C38="1 or fewer",1,IF(C38="2 or 3",0,IF(C38&gt;="4 or more",-1," ")))</f>
        <v>-1</v>
      </c>
      <c r="E38" s="57"/>
      <c r="F38" s="64" t="s">
        <v>94</v>
      </c>
      <c r="G38" s="64" t="s">
        <v>95</v>
      </c>
    </row>
    <row r="39" spans="1:7" ht="30.75">
      <c r="A39" s="66">
        <v>7.01</v>
      </c>
      <c r="B39" s="67" t="s">
        <v>96</v>
      </c>
      <c r="C39" s="56" t="s">
        <v>11</v>
      </c>
      <c r="D39" s="59">
        <f>IF(C39="y",VLOOKUP(LUT!C40,LUT!$C$4:$E$52,3),IF(C39="n",VLOOKUP(LUT!C40,LUT!$C$4:$E$52,2)," "))</f>
        <v>-1</v>
      </c>
      <c r="E39" s="57"/>
      <c r="F39" s="100" t="s">
        <v>12</v>
      </c>
      <c r="G39" s="56"/>
    </row>
    <row r="40" spans="1:7" ht="76.5">
      <c r="A40" s="66">
        <v>7.02</v>
      </c>
      <c r="B40" s="67" t="s">
        <v>97</v>
      </c>
      <c r="C40" s="56" t="s">
        <v>21</v>
      </c>
      <c r="D40" s="59">
        <f>IF(C40="y",VLOOKUP(LUT!C41,LUT!$C$4:$E$52,3),IF(C40="n",VLOOKUP(LUT!C41,LUT!$C$4:$E$52,2)," "))</f>
        <v>1</v>
      </c>
      <c r="E40" s="57"/>
      <c r="F40" s="64" t="s">
        <v>98</v>
      </c>
      <c r="G40" s="64" t="s">
        <v>99</v>
      </c>
    </row>
    <row r="41" spans="1:7" ht="30.75">
      <c r="A41" s="66">
        <v>7.03</v>
      </c>
      <c r="B41" s="67" t="s">
        <v>100</v>
      </c>
      <c r="C41" s="56" t="s">
        <v>11</v>
      </c>
      <c r="D41" s="59">
        <f>IF(C41="y",VLOOKUP(LUT!C42,LUT!$C$4:$E$52,3),IF(C41="n",VLOOKUP(LUT!C42,LUT!$C$4:$E$52,2)," "))</f>
        <v>-1</v>
      </c>
      <c r="E41" s="57"/>
      <c r="F41" s="64" t="s">
        <v>12</v>
      </c>
      <c r="G41" s="64"/>
    </row>
    <row r="42" spans="1:7">
      <c r="A42" s="66">
        <v>7.04</v>
      </c>
      <c r="B42" s="67" t="s">
        <v>101</v>
      </c>
      <c r="C42" s="56" t="s">
        <v>11</v>
      </c>
      <c r="D42" s="59">
        <f>IF(C42="y",VLOOKUP(LUT!C43,LUT!$C$4:$E$52,3),IF(C42="n",VLOOKUP(LUT!C43,LUT!$C$4:$E$52,2)," "))</f>
        <v>-1</v>
      </c>
      <c r="E42" s="57"/>
      <c r="F42" s="64" t="s">
        <v>12</v>
      </c>
      <c r="G42" s="64"/>
    </row>
    <row r="43" spans="1:7" ht="106.5">
      <c r="A43" s="66">
        <v>7.05</v>
      </c>
      <c r="B43" s="67" t="s">
        <v>102</v>
      </c>
      <c r="C43" s="56" t="s">
        <v>21</v>
      </c>
      <c r="D43" s="59">
        <f>IF(C43="y",VLOOKUP(LUT!C44,LUT!$C$4:$E$52,3),IF(C43="n",VLOOKUP(LUT!C44,LUT!$C$4:$E$52,2)," "))</f>
        <v>1</v>
      </c>
      <c r="E43" s="57"/>
      <c r="F43" s="64" t="s">
        <v>103</v>
      </c>
      <c r="G43" s="64" t="s">
        <v>104</v>
      </c>
    </row>
    <row r="44" spans="1:7">
      <c r="A44" s="66">
        <v>7.06</v>
      </c>
      <c r="B44" s="67" t="s">
        <v>105</v>
      </c>
      <c r="C44" s="56" t="s">
        <v>11</v>
      </c>
      <c r="D44" s="59">
        <f>IF(C44="y",VLOOKUP(LUT!C45,LUT!$C$4:$E$52,3),IF(C44="n",VLOOKUP(LUT!C45,LUT!$C$4:$E$52,2)," "))</f>
        <v>-1</v>
      </c>
      <c r="E44" s="57"/>
      <c r="F44" s="64" t="s">
        <v>12</v>
      </c>
      <c r="G44" s="64"/>
    </row>
    <row r="45" spans="1:7">
      <c r="A45" s="66">
        <v>7.07</v>
      </c>
      <c r="B45" s="67" t="s">
        <v>106</v>
      </c>
      <c r="C45" s="56" t="s">
        <v>11</v>
      </c>
      <c r="D45" s="59">
        <f>IF(C45="y",VLOOKUP(LUT!C46,LUT!$C$4:$E$52,3),IF(C45="n",VLOOKUP(LUT!C46,LUT!$C$4:$E$52,2)," "))</f>
        <v>-1</v>
      </c>
      <c r="E45" s="57"/>
      <c r="F45" s="64" t="s">
        <v>12</v>
      </c>
      <c r="G45" s="64"/>
    </row>
    <row r="46" spans="1:7">
      <c r="A46" s="66">
        <v>7.08</v>
      </c>
      <c r="B46" s="67" t="s">
        <v>107</v>
      </c>
      <c r="C46" s="56" t="s">
        <v>11</v>
      </c>
      <c r="D46" s="59">
        <f>IF(C46="y",VLOOKUP(LUT!C47,LUT!$C$4:$E$52,3),IF(C46="n",VLOOKUP(LUT!C47,LUT!$C$4:$E$52,2)," "))</f>
        <v>-1</v>
      </c>
      <c r="E46" s="57"/>
      <c r="F46" s="64" t="s">
        <v>12</v>
      </c>
      <c r="G46" s="64"/>
    </row>
    <row r="47" spans="1:7">
      <c r="A47" s="66">
        <v>8.01</v>
      </c>
      <c r="B47" s="67" t="s">
        <v>108</v>
      </c>
      <c r="C47" s="56" t="s">
        <v>34</v>
      </c>
      <c r="D47" s="59" t="str">
        <f>IF(C47="y",VLOOKUP(LUT!C48,LUT!$C$4:$E$52,3),IF(C47="n",VLOOKUP(LUT!C48,LUT!$C$4:$E$52,2)," "))</f>
        <v xml:space="preserve"> </v>
      </c>
      <c r="E47" s="57"/>
      <c r="F47" s="64" t="s">
        <v>109</v>
      </c>
      <c r="G47" s="64"/>
    </row>
    <row r="48" spans="1:7" ht="60.75">
      <c r="A48" s="66">
        <v>8.02</v>
      </c>
      <c r="B48" s="67" t="s">
        <v>110</v>
      </c>
      <c r="C48" s="56" t="s">
        <v>11</v>
      </c>
      <c r="D48" s="59">
        <f>IF(C48="y",VLOOKUP(LUT!C49,LUT!$C$4:$E$52,3),IF(C48="n",VLOOKUP(LUT!C49,LUT!$C$4:$E$52,2)," "))</f>
        <v>-1</v>
      </c>
      <c r="E48" s="57"/>
      <c r="F48" s="64" t="s">
        <v>111</v>
      </c>
      <c r="G48" s="64" t="s">
        <v>112</v>
      </c>
    </row>
    <row r="49" spans="1:7">
      <c r="A49" s="66">
        <v>8.0299999999999994</v>
      </c>
      <c r="B49" s="67" t="s">
        <v>113</v>
      </c>
      <c r="C49" s="56" t="s">
        <v>34</v>
      </c>
      <c r="D49" s="59" t="str">
        <f>IF(C49="y",VLOOKUP(LUT!C50,LUT!$C$4:$E$52,3),IF(C49="n",VLOOKUP(LUT!C50,LUT!$C$4:$E$52,2)," "))</f>
        <v xml:space="preserve"> </v>
      </c>
      <c r="E49" s="57"/>
      <c r="F49" s="64" t="s">
        <v>114</v>
      </c>
      <c r="G49" s="64"/>
    </row>
    <row r="50" spans="1:7" ht="45.75">
      <c r="A50" s="66">
        <v>8.0399999999999991</v>
      </c>
      <c r="B50" s="67" t="s">
        <v>115</v>
      </c>
      <c r="C50" s="56" t="s">
        <v>11</v>
      </c>
      <c r="D50" s="59">
        <f>IF(C50="y",VLOOKUP(LUT!C51,LUT!$C$4:$E$52,3),IF(C50="n",VLOOKUP(LUT!C51,LUT!$C$4:$E$52,2)," "))</f>
        <v>-1</v>
      </c>
      <c r="E50" s="57"/>
      <c r="F50" s="64" t="s">
        <v>116</v>
      </c>
      <c r="G50" s="64" t="s">
        <v>50</v>
      </c>
    </row>
    <row r="51" spans="1:7">
      <c r="A51" s="66">
        <v>8.0500000000000007</v>
      </c>
      <c r="B51" s="67" t="s">
        <v>117</v>
      </c>
      <c r="C51" s="56" t="s">
        <v>11</v>
      </c>
      <c r="D51" s="59">
        <f>IF(C51="y",VLOOKUP(LUT!C52,LUT!$C$4:$E$52,3),IF(C51="n",VLOOKUP(LUT!C52,LUT!$C$4:$E$52,2)," "))</f>
        <v>1</v>
      </c>
      <c r="E51" s="57"/>
      <c r="F51" s="64" t="s">
        <v>12</v>
      </c>
      <c r="G51" s="64"/>
    </row>
    <row r="52" spans="1:7" ht="15.95" thickBot="1">
      <c r="A52" s="87"/>
      <c r="B52" s="86"/>
      <c r="C52" s="56"/>
      <c r="D52" s="56"/>
      <c r="E52" s="57"/>
      <c r="F52" s="56"/>
      <c r="G52" s="56"/>
    </row>
    <row r="53" spans="1:7" ht="29.25" customHeight="1" thickTop="1">
      <c r="A53" s="56"/>
      <c r="B53" s="56"/>
      <c r="C53" s="69" t="s">
        <v>118</v>
      </c>
      <c r="D53" s="61">
        <f>SUM(D3:D51)</f>
        <v>9</v>
      </c>
      <c r="E53" s="62"/>
      <c r="F53" s="56"/>
      <c r="G53" s="56"/>
    </row>
    <row r="54" spans="1:7" ht="33" customHeight="1" thickBot="1">
      <c r="A54" s="56"/>
      <c r="B54" s="56"/>
      <c r="C54" s="70" t="s">
        <v>119</v>
      </c>
      <c r="D54" s="21" t="str">
        <f>IF(E60="no","more info needed",IF(D53&lt;1,"accept",IF(D53&gt;6,"reject","evaluate further")))</f>
        <v>reject</v>
      </c>
      <c r="E54" s="62"/>
      <c r="F54" s="56"/>
      <c r="G54" s="56"/>
    </row>
    <row r="55" spans="1:7" ht="17.100000000000001" thickTop="1" thickBot="1">
      <c r="A55" s="56"/>
      <c r="B55" s="56"/>
      <c r="C55" s="56"/>
      <c r="D55" s="56"/>
      <c r="E55" s="57"/>
      <c r="F55" s="56"/>
      <c r="G55" s="56"/>
    </row>
    <row r="56" spans="1:7" ht="33.950000000000003" thickTop="1" thickBot="1">
      <c r="A56" s="56"/>
      <c r="B56" s="22" t="s">
        <v>120</v>
      </c>
      <c r="C56" s="23" t="s">
        <v>121</v>
      </c>
      <c r="D56" s="19" t="s">
        <v>122</v>
      </c>
      <c r="E56" s="62"/>
      <c r="F56" s="63"/>
      <c r="G56" s="56"/>
    </row>
    <row r="57" spans="1:7" ht="17.100000000000001" thickTop="1">
      <c r="A57" s="56"/>
      <c r="B57" s="28" t="s">
        <v>123</v>
      </c>
      <c r="C57" s="24">
        <f>COUNTIF(C3:C15, "y")+COUNTIF(C3:C15, "n")+COUNTIF(C6:C7, "1")+COUNTIF(C6:C7, "2")+COUNTIF(C6:C7, "3")</f>
        <v>10</v>
      </c>
      <c r="D57" s="20" t="str">
        <f>IF(C57&gt;=2,"yes","no")</f>
        <v>yes</v>
      </c>
      <c r="E57" s="62"/>
      <c r="F57" s="56"/>
      <c r="G57" s="56"/>
    </row>
    <row r="58" spans="1:7" ht="15.95">
      <c r="A58" s="56"/>
      <c r="B58" s="29" t="s">
        <v>124</v>
      </c>
      <c r="C58" s="24">
        <f>COUNTIF(C16:C27,"y")+COUNTIF(C16:C27,"n")</f>
        <v>11</v>
      </c>
      <c r="D58" s="20" t="str">
        <f>IF(C58&gt;=2,"yes","no")</f>
        <v>yes</v>
      </c>
      <c r="E58" s="62"/>
      <c r="F58" s="56"/>
      <c r="G58" s="56"/>
    </row>
    <row r="59" spans="1:7" ht="15.95">
      <c r="A59" s="56"/>
      <c r="B59" s="28" t="s">
        <v>125</v>
      </c>
      <c r="C59" s="24">
        <f>COUNTIF(C28:C51,"y")+COUNTIF(C28:C51, "n")+COUNT(C28:C51)</f>
        <v>20</v>
      </c>
      <c r="D59" s="20" t="str">
        <f>IF(C59&gt;=6,"yes","no")</f>
        <v>yes</v>
      </c>
      <c r="E59" s="62"/>
      <c r="F59" s="56"/>
      <c r="G59" s="56"/>
    </row>
    <row r="60" spans="1:7" ht="17.100000000000001" thickBot="1">
      <c r="A60" s="56"/>
      <c r="B60" s="25" t="s">
        <v>126</v>
      </c>
      <c r="C60" s="26">
        <f>SUM(C57:C59)</f>
        <v>41</v>
      </c>
      <c r="D60" s="21" t="str">
        <f>IF(D57="no","no",IF(D58="no","no",IF(D59="no","no","yes")))</f>
        <v>yes</v>
      </c>
      <c r="E60" s="62"/>
      <c r="F60" s="56"/>
      <c r="G60" s="56"/>
    </row>
    <row r="61" spans="1:7" ht="15.95" thickTop="1">
      <c r="A61" s="56"/>
      <c r="B61" s="56"/>
      <c r="C61" s="56"/>
      <c r="D61" s="56"/>
      <c r="E61" s="57"/>
      <c r="F61" s="56"/>
      <c r="G61" s="56"/>
    </row>
    <row r="62" spans="1:7">
      <c r="A62" s="56"/>
      <c r="B62" s="56"/>
      <c r="C62" s="56"/>
      <c r="D62" s="56"/>
      <c r="E62" s="57"/>
      <c r="F62" s="56"/>
      <c r="G62" s="56"/>
    </row>
    <row r="63" spans="1:7" ht="15.95" thickBot="1">
      <c r="A63" s="56"/>
      <c r="B63" s="108" t="s">
        <v>127</v>
      </c>
      <c r="C63" s="108"/>
      <c r="D63" s="108"/>
      <c r="E63" s="62"/>
      <c r="F63" s="56"/>
      <c r="G63" s="56"/>
    </row>
    <row r="64" spans="1:7" ht="15.95" thickBot="1">
      <c r="A64" s="56"/>
      <c r="B64" s="109" t="s">
        <v>128</v>
      </c>
      <c r="C64" s="110"/>
      <c r="D64" s="111"/>
      <c r="E64" s="62"/>
      <c r="F64" s="56"/>
      <c r="G64" s="56"/>
    </row>
    <row r="65" spans="1:7">
      <c r="A65" s="56">
        <v>9.01</v>
      </c>
      <c r="B65" s="71" t="s">
        <v>129</v>
      </c>
      <c r="C65" s="112"/>
      <c r="D65" s="113"/>
      <c r="E65" s="62"/>
      <c r="F65" s="56"/>
      <c r="G65" s="56"/>
    </row>
    <row r="66" spans="1:7">
      <c r="A66" s="56">
        <v>9.02</v>
      </c>
      <c r="B66" s="71" t="s">
        <v>130</v>
      </c>
      <c r="C66" s="114"/>
      <c r="D66" s="115"/>
      <c r="E66" s="62"/>
      <c r="F66" s="56"/>
      <c r="G66" s="56"/>
    </row>
    <row r="67" spans="1:7">
      <c r="A67" s="56">
        <v>9.0299999999999994</v>
      </c>
      <c r="B67" s="71" t="s">
        <v>131</v>
      </c>
      <c r="C67" s="106"/>
      <c r="D67" s="107"/>
      <c r="E67" s="62"/>
      <c r="F67" s="56"/>
      <c r="G67" s="56"/>
    </row>
    <row r="68" spans="1:7">
      <c r="A68" s="56">
        <v>9.0399999999999991</v>
      </c>
      <c r="B68" s="71" t="s">
        <v>132</v>
      </c>
      <c r="C68" s="106"/>
      <c r="D68" s="107"/>
      <c r="E68" s="62"/>
      <c r="F68" s="56"/>
      <c r="G68" s="56"/>
    </row>
    <row r="69" spans="1:7">
      <c r="A69" s="56">
        <v>9.0500000000000007</v>
      </c>
      <c r="B69" s="71" t="s">
        <v>133</v>
      </c>
      <c r="C69" s="106"/>
      <c r="D69" s="107"/>
      <c r="E69" s="62"/>
      <c r="F69" s="56"/>
      <c r="G69" s="56"/>
    </row>
    <row r="70" spans="1:7">
      <c r="A70" s="56">
        <v>9.06</v>
      </c>
      <c r="B70" s="71" t="s">
        <v>134</v>
      </c>
      <c r="C70" s="106"/>
      <c r="D70" s="107"/>
      <c r="E70" s="62"/>
      <c r="F70" s="56"/>
      <c r="G70" s="56"/>
    </row>
    <row r="71" spans="1:7">
      <c r="A71" s="56">
        <v>9.07</v>
      </c>
      <c r="B71" s="71" t="s">
        <v>135</v>
      </c>
      <c r="C71" s="94"/>
      <c r="D71" s="97" t="str">
        <f>IF(C71="yes", IF(OR(C65="?", C66="?", C67="no", C67="?"), "eval.", IF(AND(C65="yes", C66="yes", C67="yes"), "reject", IF(OR(C65="no", C66="no"), "accept", " ")))," ")</f>
        <v xml:space="preserve"> </v>
      </c>
      <c r="E71" s="62"/>
      <c r="F71" s="56"/>
      <c r="G71" s="56"/>
    </row>
    <row r="72" spans="1:7">
      <c r="A72" s="56">
        <v>9.08</v>
      </c>
      <c r="B72" s="71" t="s">
        <v>136</v>
      </c>
      <c r="C72" s="92"/>
      <c r="D72" s="89" t="str">
        <f>IF(C71="yes","STOP",IF(C72="yes",IF(C68="no","accept",IF(AND(C68="yes",OR(C69="yes",C70="yes")),"reject",IF(OR(C68="?",C69="?",C70="?",C69="no",C70="no"),"eval.",""))), ""))</f>
        <v/>
      </c>
      <c r="E72" s="62"/>
      <c r="F72" s="56"/>
      <c r="G72" s="56"/>
    </row>
    <row r="73" spans="1:7" ht="15.95" thickBot="1">
      <c r="A73" s="56">
        <v>9.09</v>
      </c>
      <c r="B73" s="91" t="s">
        <v>137</v>
      </c>
      <c r="C73" s="93"/>
      <c r="D73" s="90" t="str">
        <f>IF(OR(C71="yes",C72="yes"),"STOP",IF(C73="yes",IF(AND(LUT!I26="accept",LUT!I27="accept"),"accept",IF(AND(LUT!I26="eval.",LUT!I27="eval."),"eval.",IF(OR(LUT!I26="reject",LUT!I27="reject"),"reject",""))),""))</f>
        <v/>
      </c>
      <c r="E73" s="62"/>
      <c r="F73" s="56"/>
      <c r="G73" s="56"/>
    </row>
    <row r="74" spans="1:7" ht="15.95" thickBot="1">
      <c r="A74" s="56"/>
      <c r="B74" s="72" t="s">
        <v>138</v>
      </c>
      <c r="C74" s="104" t="str">
        <f>IF(OR(D71="accept", D72="accept", D73="accept"), "Accept", IF(OR(D71="eval.", D72="eval.", D73="eval."), "Evaluate Further", IF(OR(D71="reject", D72="reject",D73="reject"), "Reject", "")))</f>
        <v/>
      </c>
      <c r="D74" s="105"/>
      <c r="E74" s="62"/>
      <c r="F74" s="56"/>
      <c r="G74" s="56"/>
    </row>
    <row r="75" spans="1:7">
      <c r="A75" s="56"/>
      <c r="B75" s="64"/>
      <c r="C75" s="64"/>
      <c r="D75" s="56"/>
      <c r="E75" s="57"/>
      <c r="F75" s="56"/>
      <c r="G75" s="56"/>
    </row>
    <row r="76" spans="1:7">
      <c r="A76" s="56"/>
      <c r="B76" s="64"/>
      <c r="C76" s="64"/>
      <c r="D76" s="56"/>
      <c r="E76" s="57"/>
      <c r="F76" s="56"/>
      <c r="G76" s="56"/>
    </row>
    <row r="77" spans="1:7">
      <c r="A77" s="56"/>
      <c r="B77" s="64"/>
      <c r="C77" s="64"/>
      <c r="D77" s="56"/>
      <c r="E77" s="57"/>
      <c r="F77" s="56"/>
      <c r="G77" s="56"/>
    </row>
    <row r="78" spans="1:7">
      <c r="A78" s="56"/>
      <c r="B78" s="64"/>
      <c r="C78" s="64"/>
      <c r="D78" s="56"/>
      <c r="E78" s="57"/>
      <c r="F78" s="56"/>
      <c r="G78" s="56"/>
    </row>
    <row r="79" spans="1:7">
      <c r="A79" s="56"/>
      <c r="B79" s="64"/>
      <c r="C79" s="64"/>
      <c r="D79" s="56"/>
      <c r="E79" s="57"/>
      <c r="F79" s="56"/>
      <c r="G79" s="56"/>
    </row>
    <row r="80" spans="1:7">
      <c r="A80" s="56"/>
      <c r="B80" s="64"/>
      <c r="C80" s="64"/>
      <c r="D80" s="56"/>
      <c r="E80" s="57"/>
      <c r="F80" s="56"/>
      <c r="G80" s="56"/>
    </row>
    <row r="81" spans="1:7">
      <c r="A81" s="56"/>
      <c r="B81" s="64"/>
      <c r="C81" s="64"/>
      <c r="D81" s="56"/>
      <c r="E81" s="57"/>
      <c r="F81" s="56"/>
      <c r="G81" s="56"/>
    </row>
    <row r="82" spans="1:7">
      <c r="A82" s="56"/>
      <c r="B82" s="64"/>
      <c r="C82" s="64"/>
      <c r="D82" s="56"/>
      <c r="E82" s="57"/>
      <c r="F82" s="56"/>
      <c r="G82" s="56"/>
    </row>
    <row r="83" spans="1:7">
      <c r="A83" s="56"/>
      <c r="B83" s="64"/>
      <c r="C83" s="64"/>
      <c r="D83" s="56"/>
      <c r="E83" s="57"/>
      <c r="F83" s="56"/>
      <c r="G83" s="56"/>
    </row>
    <row r="84" spans="1:7">
      <c r="A84" s="56"/>
      <c r="B84" s="64"/>
      <c r="C84" s="64"/>
      <c r="D84" s="56"/>
      <c r="E84" s="57"/>
      <c r="F84" s="56"/>
      <c r="G84" s="56"/>
    </row>
    <row r="85" spans="1:7">
      <c r="A85" s="56"/>
      <c r="B85" s="64"/>
      <c r="C85" s="64"/>
      <c r="D85" s="56"/>
      <c r="E85" s="57"/>
      <c r="F85" s="56"/>
      <c r="G85" s="56"/>
    </row>
    <row r="86" spans="1:7">
      <c r="A86" s="56"/>
      <c r="B86" s="56"/>
      <c r="C86" s="56"/>
      <c r="D86" s="56"/>
      <c r="E86" s="57"/>
      <c r="F86" s="56"/>
      <c r="G86" s="56"/>
    </row>
    <row r="107" spans="6:6">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defaultColWidth="8.85546875" defaultRowHeight="15"/>
  <cols>
    <col min="1" max="1" width="6.85546875" customWidth="1"/>
    <col min="8" max="8" width="18.28515625" customWidth="1"/>
  </cols>
  <sheetData>
    <row r="1" spans="2:18" ht="15.95" thickBot="1"/>
    <row r="2" spans="2:18" ht="15.95" thickBot="1">
      <c r="B2" t="s">
        <v>139</v>
      </c>
      <c r="H2" s="116" t="s">
        <v>140</v>
      </c>
      <c r="I2" s="117"/>
      <c r="J2" s="117"/>
      <c r="K2" s="117"/>
      <c r="L2" s="117"/>
      <c r="M2" s="117"/>
      <c r="N2" s="117"/>
      <c r="O2" s="117"/>
      <c r="P2" s="117"/>
      <c r="Q2" s="117"/>
      <c r="R2" s="118"/>
    </row>
    <row r="3" spans="2:18">
      <c r="B3" s="1" t="s">
        <v>120</v>
      </c>
      <c r="C3" s="2" t="s">
        <v>4</v>
      </c>
      <c r="D3" s="2" t="s">
        <v>141</v>
      </c>
      <c r="E3" s="3" t="s">
        <v>142</v>
      </c>
      <c r="H3" s="148" t="s">
        <v>143</v>
      </c>
      <c r="I3" s="149"/>
      <c r="J3" s="149"/>
      <c r="K3" s="149"/>
      <c r="L3" s="149"/>
      <c r="M3" s="149"/>
      <c r="N3" s="149"/>
      <c r="O3" s="149"/>
      <c r="P3" s="149"/>
      <c r="Q3" s="149"/>
      <c r="R3" s="150"/>
    </row>
    <row r="4" spans="2:18">
      <c r="B4" s="4" t="s">
        <v>144</v>
      </c>
      <c r="C4">
        <v>1.01</v>
      </c>
      <c r="D4">
        <v>0</v>
      </c>
      <c r="E4" s="5">
        <v>-3</v>
      </c>
      <c r="H4" s="138" t="s">
        <v>145</v>
      </c>
      <c r="I4" s="139"/>
      <c r="J4" s="139"/>
      <c r="K4" s="139"/>
      <c r="L4" s="139"/>
      <c r="M4" s="139"/>
      <c r="N4" s="139"/>
      <c r="O4" s="139"/>
      <c r="P4" s="139"/>
      <c r="Q4" s="139"/>
      <c r="R4" s="16" t="s">
        <v>146</v>
      </c>
    </row>
    <row r="5" spans="2:18">
      <c r="B5" s="4" t="s">
        <v>125</v>
      </c>
      <c r="C5">
        <v>1.02</v>
      </c>
      <c r="D5">
        <v>-1</v>
      </c>
      <c r="E5" s="5">
        <v>1</v>
      </c>
      <c r="H5" s="138" t="s">
        <v>147</v>
      </c>
      <c r="I5" s="10">
        <v>2.0099999999999998</v>
      </c>
      <c r="J5" s="10">
        <v>1</v>
      </c>
      <c r="K5" s="10">
        <v>1</v>
      </c>
      <c r="L5" s="10">
        <v>1</v>
      </c>
      <c r="M5" s="10">
        <v>2</v>
      </c>
      <c r="N5" s="10">
        <v>2</v>
      </c>
      <c r="O5" s="10">
        <v>2</v>
      </c>
      <c r="P5" s="10">
        <v>3</v>
      </c>
      <c r="Q5" s="10">
        <v>3</v>
      </c>
      <c r="R5" s="11">
        <v>3</v>
      </c>
    </row>
    <row r="6" spans="2:18">
      <c r="B6" s="4" t="s">
        <v>125</v>
      </c>
      <c r="C6">
        <v>1.03</v>
      </c>
      <c r="D6">
        <v>-1</v>
      </c>
      <c r="E6" s="5">
        <v>1</v>
      </c>
      <c r="H6" s="138"/>
      <c r="I6" s="10">
        <v>2.02</v>
      </c>
      <c r="J6" s="10">
        <v>1</v>
      </c>
      <c r="K6" s="10">
        <v>2</v>
      </c>
      <c r="L6" s="10">
        <v>3</v>
      </c>
      <c r="M6" s="10">
        <v>1</v>
      </c>
      <c r="N6" s="10">
        <v>2</v>
      </c>
      <c r="O6" s="10">
        <v>3</v>
      </c>
      <c r="P6" s="10">
        <v>1</v>
      </c>
      <c r="Q6" s="10">
        <v>2</v>
      </c>
      <c r="R6" s="11">
        <v>3</v>
      </c>
    </row>
    <row r="7" spans="2:18">
      <c r="B7" s="4"/>
      <c r="C7">
        <v>2.0099999999999998</v>
      </c>
      <c r="D7" s="126" t="s">
        <v>148</v>
      </c>
      <c r="E7" s="127"/>
      <c r="H7" s="121" t="s">
        <v>149</v>
      </c>
      <c r="I7" s="10">
        <v>3.01</v>
      </c>
      <c r="J7" s="10">
        <v>2</v>
      </c>
      <c r="K7" s="10">
        <v>1</v>
      </c>
      <c r="L7" s="10">
        <v>1</v>
      </c>
      <c r="M7" s="10">
        <v>2</v>
      </c>
      <c r="N7" s="10">
        <v>2</v>
      </c>
      <c r="O7" s="10">
        <v>1</v>
      </c>
      <c r="P7" s="10">
        <v>2</v>
      </c>
      <c r="Q7" s="10">
        <v>2</v>
      </c>
      <c r="R7" s="11">
        <v>2</v>
      </c>
    </row>
    <row r="8" spans="2:18">
      <c r="B8" s="4"/>
      <c r="C8">
        <v>2.02</v>
      </c>
      <c r="D8" s="128"/>
      <c r="E8" s="129"/>
      <c r="H8" s="121"/>
      <c r="I8" s="10">
        <v>3.02</v>
      </c>
      <c r="J8" s="10">
        <v>2</v>
      </c>
      <c r="K8" s="10">
        <v>1</v>
      </c>
      <c r="L8" s="10">
        <v>1</v>
      </c>
      <c r="M8" s="10">
        <v>2</v>
      </c>
      <c r="N8" s="10">
        <v>2</v>
      </c>
      <c r="O8" s="10">
        <v>1</v>
      </c>
      <c r="P8" s="10">
        <v>2</v>
      </c>
      <c r="Q8" s="10">
        <v>2</v>
      </c>
      <c r="R8" s="11">
        <v>2</v>
      </c>
    </row>
    <row r="9" spans="2:18">
      <c r="B9" s="4" t="s">
        <v>125</v>
      </c>
      <c r="C9">
        <v>2.0299999999999998</v>
      </c>
      <c r="D9">
        <v>0</v>
      </c>
      <c r="E9" s="5">
        <v>1</v>
      </c>
      <c r="H9" s="121"/>
      <c r="I9" s="10">
        <v>3.03</v>
      </c>
      <c r="J9" s="10">
        <v>4</v>
      </c>
      <c r="K9" s="10">
        <v>2</v>
      </c>
      <c r="L9" s="10">
        <v>1</v>
      </c>
      <c r="M9" s="10">
        <v>4</v>
      </c>
      <c r="N9" s="10">
        <v>3</v>
      </c>
      <c r="O9" s="10">
        <v>2</v>
      </c>
      <c r="P9" s="10">
        <v>4</v>
      </c>
      <c r="Q9" s="10">
        <v>4</v>
      </c>
      <c r="R9" s="11">
        <v>4</v>
      </c>
    </row>
    <row r="10" spans="2:18">
      <c r="B10" s="4" t="s">
        <v>125</v>
      </c>
      <c r="C10">
        <v>2.04</v>
      </c>
      <c r="D10">
        <v>0</v>
      </c>
      <c r="E10" s="5">
        <v>1</v>
      </c>
      <c r="H10" s="121"/>
      <c r="I10" s="10">
        <v>3.04</v>
      </c>
      <c r="J10" s="10">
        <v>4</v>
      </c>
      <c r="K10" s="10">
        <v>2</v>
      </c>
      <c r="L10" s="10">
        <v>1</v>
      </c>
      <c r="M10" s="10">
        <v>4</v>
      </c>
      <c r="N10" s="10">
        <v>3</v>
      </c>
      <c r="O10" s="10">
        <v>2</v>
      </c>
      <c r="P10" s="10">
        <v>4</v>
      </c>
      <c r="Q10" s="10">
        <v>4</v>
      </c>
      <c r="R10" s="11">
        <v>4</v>
      </c>
    </row>
    <row r="11" spans="2:18">
      <c r="B11" s="4"/>
      <c r="C11">
        <v>2.0499999999999998</v>
      </c>
      <c r="E11" s="5"/>
      <c r="H11" s="121"/>
      <c r="I11" s="10">
        <v>3.05</v>
      </c>
      <c r="J11" s="10">
        <v>2</v>
      </c>
      <c r="K11" s="10">
        <v>1</v>
      </c>
      <c r="L11" s="10">
        <v>1</v>
      </c>
      <c r="M11" s="10">
        <v>2</v>
      </c>
      <c r="N11" s="10">
        <v>2</v>
      </c>
      <c r="O11" s="10">
        <v>1</v>
      </c>
      <c r="P11" s="10">
        <v>2</v>
      </c>
      <c r="Q11" s="10">
        <v>2</v>
      </c>
      <c r="R11" s="11">
        <v>2</v>
      </c>
    </row>
    <row r="12" spans="2:18">
      <c r="B12" s="4" t="s">
        <v>125</v>
      </c>
      <c r="C12">
        <v>3.01</v>
      </c>
      <c r="D12" s="130" t="s">
        <v>150</v>
      </c>
      <c r="E12" s="131"/>
      <c r="H12" s="119" t="s">
        <v>151</v>
      </c>
      <c r="I12" s="120"/>
      <c r="J12" s="120"/>
      <c r="K12" s="120"/>
      <c r="L12" s="120"/>
      <c r="M12" s="120"/>
      <c r="N12" s="120"/>
      <c r="O12" s="120"/>
      <c r="P12" s="120"/>
      <c r="Q12" s="120"/>
      <c r="R12" s="123"/>
    </row>
    <row r="13" spans="2:18">
      <c r="B13" s="4" t="s">
        <v>152</v>
      </c>
      <c r="C13">
        <v>3.02</v>
      </c>
      <c r="D13" s="132"/>
      <c r="E13" s="133"/>
      <c r="H13" s="4" t="s">
        <v>153</v>
      </c>
      <c r="I13" s="10">
        <v>2.0499999999999998</v>
      </c>
      <c r="J13" s="10" t="s">
        <v>34</v>
      </c>
      <c r="K13" s="10" t="s">
        <v>154</v>
      </c>
      <c r="L13" s="10" t="s">
        <v>155</v>
      </c>
      <c r="M13" s="120"/>
      <c r="N13" s="120"/>
      <c r="O13" s="120"/>
      <c r="P13" s="120"/>
      <c r="Q13" s="120"/>
      <c r="R13" s="123"/>
    </row>
    <row r="14" spans="2:18">
      <c r="B14" s="4" t="s">
        <v>123</v>
      </c>
      <c r="C14">
        <v>3.03</v>
      </c>
      <c r="D14" s="132"/>
      <c r="E14" s="133"/>
      <c r="H14" s="121" t="s">
        <v>149</v>
      </c>
      <c r="I14" s="10">
        <v>3.01</v>
      </c>
      <c r="J14" s="10">
        <v>-1</v>
      </c>
      <c r="K14" s="10">
        <v>0</v>
      </c>
      <c r="L14" s="10">
        <v>-2</v>
      </c>
      <c r="M14" s="120"/>
      <c r="N14" s="120"/>
      <c r="O14" s="120"/>
      <c r="P14" s="120"/>
      <c r="Q14" s="120"/>
      <c r="R14" s="123"/>
    </row>
    <row r="15" spans="2:18" ht="15.95" thickBot="1">
      <c r="B15" s="4" t="s">
        <v>152</v>
      </c>
      <c r="C15">
        <v>3.04</v>
      </c>
      <c r="D15" s="132"/>
      <c r="E15" s="133"/>
      <c r="H15" s="122"/>
      <c r="I15" s="13" t="s">
        <v>156</v>
      </c>
      <c r="J15" s="13">
        <v>0</v>
      </c>
      <c r="K15" s="13">
        <v>0</v>
      </c>
      <c r="L15" s="13">
        <v>0</v>
      </c>
      <c r="M15" s="124"/>
      <c r="N15" s="124"/>
      <c r="O15" s="124"/>
      <c r="P15" s="124"/>
      <c r="Q15" s="124"/>
      <c r="R15" s="125"/>
    </row>
    <row r="16" spans="2:18">
      <c r="B16" s="4" t="s">
        <v>125</v>
      </c>
      <c r="C16">
        <v>3.05</v>
      </c>
      <c r="D16" s="134"/>
      <c r="E16" s="135"/>
    </row>
    <row r="17" spans="2:11">
      <c r="B17" s="4" t="s">
        <v>157</v>
      </c>
      <c r="C17">
        <v>4.01</v>
      </c>
      <c r="D17">
        <v>0</v>
      </c>
      <c r="E17" s="5">
        <v>1</v>
      </c>
    </row>
    <row r="18" spans="2:11" ht="15.95" thickBot="1">
      <c r="B18" s="4" t="s">
        <v>125</v>
      </c>
      <c r="C18">
        <v>4.0199999999999996</v>
      </c>
      <c r="D18">
        <v>0</v>
      </c>
      <c r="E18" s="5">
        <v>1</v>
      </c>
    </row>
    <row r="19" spans="2:11">
      <c r="B19" s="4" t="s">
        <v>125</v>
      </c>
      <c r="C19">
        <v>4.03</v>
      </c>
      <c r="D19">
        <v>0</v>
      </c>
      <c r="E19" s="5">
        <v>1</v>
      </c>
      <c r="H19" s="116" t="s">
        <v>158</v>
      </c>
      <c r="I19" s="117"/>
      <c r="J19" s="117"/>
      <c r="K19" s="118"/>
    </row>
    <row r="20" spans="2:11">
      <c r="B20" s="4" t="s">
        <v>123</v>
      </c>
      <c r="C20">
        <v>4.04</v>
      </c>
      <c r="D20">
        <v>-1</v>
      </c>
      <c r="E20" s="5">
        <v>1</v>
      </c>
      <c r="H20" s="4" t="s">
        <v>159</v>
      </c>
      <c r="I20" s="12">
        <v>1</v>
      </c>
      <c r="J20" s="12">
        <v>2</v>
      </c>
      <c r="K20" s="9">
        <v>4</v>
      </c>
    </row>
    <row r="21" spans="2:11" ht="15.95" thickBot="1">
      <c r="B21" s="4" t="s">
        <v>125</v>
      </c>
      <c r="C21">
        <v>4.05</v>
      </c>
      <c r="D21">
        <v>0</v>
      </c>
      <c r="E21" s="5">
        <v>1</v>
      </c>
      <c r="H21" s="6" t="s">
        <v>6</v>
      </c>
      <c r="I21" s="14">
        <v>1</v>
      </c>
      <c r="J21" s="14">
        <v>0</v>
      </c>
      <c r="K21" s="15">
        <v>-1</v>
      </c>
    </row>
    <row r="22" spans="2:11">
      <c r="B22" s="4" t="s">
        <v>125</v>
      </c>
      <c r="C22">
        <v>4.0599999999999996</v>
      </c>
      <c r="D22">
        <v>0</v>
      </c>
      <c r="E22" s="5">
        <v>1</v>
      </c>
    </row>
    <row r="23" spans="2:11">
      <c r="B23" s="4" t="s">
        <v>125</v>
      </c>
      <c r="C23">
        <v>4.07</v>
      </c>
      <c r="D23">
        <v>0</v>
      </c>
      <c r="E23" s="5">
        <v>1</v>
      </c>
    </row>
    <row r="24" spans="2:11" ht="15.95" thickBot="1">
      <c r="B24" s="4" t="s">
        <v>152</v>
      </c>
      <c r="C24">
        <v>4.08</v>
      </c>
      <c r="D24">
        <v>0</v>
      </c>
      <c r="E24" s="5">
        <v>1</v>
      </c>
    </row>
    <row r="25" spans="2:11">
      <c r="B25" s="4" t="s">
        <v>152</v>
      </c>
      <c r="C25">
        <v>4.09</v>
      </c>
      <c r="D25">
        <v>0</v>
      </c>
      <c r="E25" s="5">
        <v>1</v>
      </c>
      <c r="H25" s="140" t="s">
        <v>160</v>
      </c>
      <c r="I25" s="141"/>
      <c r="J25" s="141"/>
      <c r="K25" s="142"/>
    </row>
    <row r="26" spans="2:11">
      <c r="B26" s="4" t="s">
        <v>152</v>
      </c>
      <c r="C26">
        <v>4.0999999999999996</v>
      </c>
      <c r="D26">
        <v>0</v>
      </c>
      <c r="E26" s="5">
        <v>1</v>
      </c>
      <c r="H26" s="95" t="s">
        <v>161</v>
      </c>
      <c r="I26" s="151" t="str">
        <f>IF(OR('WRA Worksheet'!C65="?",'WRA Worksheet'!C66="?",'WRA Worksheet'!C67="?",'WRA Worksheet'!C67="no"),"eval.",IF(AND('WRA Worksheet'!C65="yes",'WRA Worksheet'!C66="yes",'WRA Worksheet'!C67="yes"),"reject",IF(OR('WRA Worksheet'!C65="no",'WRA Worksheet'!C66="no"),"accept","")))</f>
        <v/>
      </c>
      <c r="J26" s="151"/>
      <c r="K26" s="152"/>
    </row>
    <row r="27" spans="2:11" ht="15.95" thickBot="1">
      <c r="B27" s="4" t="s">
        <v>152</v>
      </c>
      <c r="C27">
        <v>4.1100000000000003</v>
      </c>
      <c r="D27">
        <v>0</v>
      </c>
      <c r="E27" s="5">
        <v>1</v>
      </c>
      <c r="H27" s="96" t="s">
        <v>162</v>
      </c>
      <c r="I27" s="153" t="str">
        <f>IF('WRA Worksheet'!C68="no","accept",IF(AND('WRA Worksheet'!C68="yes",OR('WRA Worksheet'!C69="yes",'WRA Worksheet'!C70="yes")),"reject",IF(OR('WRA Worksheet'!C68="?",'WRA Worksheet'!C69="?",'WRA Worksheet'!C70="?",'WRA Worksheet'!C69="no",'WRA Worksheet'!C70="no"),"eval.","")))</f>
        <v/>
      </c>
      <c r="J27" s="153"/>
      <c r="K27" s="154"/>
    </row>
    <row r="28" spans="2:11">
      <c r="B28" s="4" t="s">
        <v>125</v>
      </c>
      <c r="C28">
        <v>4.12</v>
      </c>
      <c r="D28">
        <v>0</v>
      </c>
      <c r="E28" s="5">
        <v>1</v>
      </c>
    </row>
    <row r="29" spans="2:11">
      <c r="B29" s="4" t="s">
        <v>163</v>
      </c>
      <c r="C29">
        <v>5.01</v>
      </c>
      <c r="D29">
        <v>0</v>
      </c>
      <c r="E29" s="5">
        <v>5</v>
      </c>
    </row>
    <row r="30" spans="2:11">
      <c r="B30" s="4" t="s">
        <v>125</v>
      </c>
      <c r="C30">
        <v>5.0199999999999996</v>
      </c>
      <c r="D30">
        <v>0</v>
      </c>
      <c r="E30" s="5">
        <v>1</v>
      </c>
    </row>
    <row r="31" spans="2:11">
      <c r="B31" s="4" t="s">
        <v>152</v>
      </c>
      <c r="C31">
        <v>5.03</v>
      </c>
      <c r="D31">
        <v>0</v>
      </c>
      <c r="E31" s="5">
        <v>1</v>
      </c>
    </row>
    <row r="32" spans="2:11">
      <c r="B32" s="4" t="s">
        <v>125</v>
      </c>
      <c r="C32">
        <v>5.04</v>
      </c>
      <c r="D32">
        <v>0</v>
      </c>
      <c r="E32" s="5">
        <v>1</v>
      </c>
    </row>
    <row r="33" spans="2:5">
      <c r="B33" s="4" t="s">
        <v>125</v>
      </c>
      <c r="C33">
        <v>6.01</v>
      </c>
      <c r="D33">
        <v>0</v>
      </c>
      <c r="E33" s="5">
        <v>1</v>
      </c>
    </row>
    <row r="34" spans="2:5">
      <c r="B34" s="4" t="s">
        <v>125</v>
      </c>
      <c r="C34">
        <v>6.02</v>
      </c>
      <c r="D34">
        <v>-1</v>
      </c>
      <c r="E34" s="5">
        <v>1</v>
      </c>
    </row>
    <row r="35" spans="2:5">
      <c r="B35" s="4" t="s">
        <v>123</v>
      </c>
      <c r="C35">
        <v>6.03</v>
      </c>
      <c r="D35">
        <v>-1</v>
      </c>
      <c r="E35" s="5">
        <v>1</v>
      </c>
    </row>
    <row r="36" spans="2:5">
      <c r="B36" s="4" t="s">
        <v>125</v>
      </c>
      <c r="C36">
        <v>6.04</v>
      </c>
      <c r="D36">
        <v>-1</v>
      </c>
      <c r="E36" s="5">
        <v>1</v>
      </c>
    </row>
    <row r="37" spans="2:5">
      <c r="B37" s="4" t="s">
        <v>125</v>
      </c>
      <c r="C37">
        <v>6.05</v>
      </c>
      <c r="D37">
        <v>0</v>
      </c>
      <c r="E37" s="5">
        <v>-1</v>
      </c>
    </row>
    <row r="38" spans="2:5">
      <c r="B38" s="4" t="s">
        <v>123</v>
      </c>
      <c r="C38">
        <v>6.06</v>
      </c>
      <c r="D38">
        <v>-1</v>
      </c>
      <c r="E38" s="5">
        <v>1</v>
      </c>
    </row>
    <row r="39" spans="2:5">
      <c r="B39" s="4" t="s">
        <v>125</v>
      </c>
      <c r="C39">
        <v>6.07</v>
      </c>
      <c r="D39" s="136" t="s">
        <v>164</v>
      </c>
      <c r="E39" s="137"/>
    </row>
    <row r="40" spans="2:5">
      <c r="B40" s="4" t="s">
        <v>123</v>
      </c>
      <c r="C40">
        <v>7.01</v>
      </c>
      <c r="D40">
        <v>-1</v>
      </c>
      <c r="E40" s="5">
        <v>1</v>
      </c>
    </row>
    <row r="41" spans="2:5">
      <c r="B41" s="4" t="s">
        <v>125</v>
      </c>
      <c r="C41">
        <v>7.02</v>
      </c>
      <c r="D41">
        <v>-1</v>
      </c>
      <c r="E41" s="5">
        <v>1</v>
      </c>
    </row>
    <row r="42" spans="2:5">
      <c r="B42" s="4" t="s">
        <v>123</v>
      </c>
      <c r="C42">
        <v>7.03</v>
      </c>
      <c r="D42">
        <v>-1</v>
      </c>
      <c r="E42" s="5">
        <v>1</v>
      </c>
    </row>
    <row r="43" spans="2:5">
      <c r="B43" s="4" t="s">
        <v>125</v>
      </c>
      <c r="C43">
        <v>7.04</v>
      </c>
      <c r="D43">
        <v>-1</v>
      </c>
      <c r="E43" s="5">
        <v>1</v>
      </c>
    </row>
    <row r="44" spans="2:5">
      <c r="B44" s="4" t="s">
        <v>152</v>
      </c>
      <c r="C44">
        <v>7.05</v>
      </c>
      <c r="D44">
        <v>-1</v>
      </c>
      <c r="E44" s="5">
        <v>1</v>
      </c>
    </row>
    <row r="45" spans="2:5">
      <c r="B45" s="4" t="s">
        <v>152</v>
      </c>
      <c r="C45">
        <v>7.06</v>
      </c>
      <c r="D45">
        <v>-1</v>
      </c>
      <c r="E45" s="5">
        <v>1</v>
      </c>
    </row>
    <row r="46" spans="2:5">
      <c r="B46" s="4" t="s">
        <v>125</v>
      </c>
      <c r="C46">
        <v>7.07</v>
      </c>
      <c r="D46">
        <v>-1</v>
      </c>
      <c r="E46" s="5">
        <v>1</v>
      </c>
    </row>
    <row r="47" spans="2:5">
      <c r="B47" s="4" t="s">
        <v>125</v>
      </c>
      <c r="C47">
        <v>7.08</v>
      </c>
      <c r="D47">
        <v>-1</v>
      </c>
      <c r="E47" s="5">
        <v>1</v>
      </c>
    </row>
    <row r="48" spans="2:5">
      <c r="B48" s="4" t="s">
        <v>125</v>
      </c>
      <c r="C48">
        <v>8.01</v>
      </c>
      <c r="D48">
        <v>-1</v>
      </c>
      <c r="E48" s="5">
        <v>1</v>
      </c>
    </row>
    <row r="49" spans="2:5">
      <c r="B49" s="4" t="s">
        <v>125</v>
      </c>
      <c r="C49">
        <v>8.02</v>
      </c>
      <c r="D49">
        <v>-1</v>
      </c>
      <c r="E49" s="5">
        <v>1</v>
      </c>
    </row>
    <row r="50" spans="2:5">
      <c r="B50" s="4" t="s">
        <v>123</v>
      </c>
      <c r="C50">
        <v>8.0299999999999994</v>
      </c>
      <c r="D50">
        <v>1</v>
      </c>
      <c r="E50" s="5">
        <v>-1</v>
      </c>
    </row>
    <row r="51" spans="2:5">
      <c r="B51" s="4" t="s">
        <v>123</v>
      </c>
      <c r="C51">
        <v>8.0399999999999991</v>
      </c>
      <c r="D51">
        <v>-1</v>
      </c>
      <c r="E51" s="5">
        <v>1</v>
      </c>
    </row>
    <row r="52" spans="2:5">
      <c r="B52" s="4" t="s">
        <v>125</v>
      </c>
      <c r="C52">
        <v>8.0500000000000007</v>
      </c>
      <c r="D52">
        <v>1</v>
      </c>
      <c r="E52" s="5">
        <v>-1</v>
      </c>
    </row>
    <row r="53" spans="2:5">
      <c r="B53" s="4"/>
      <c r="E53" s="5"/>
    </row>
    <row r="54" spans="2:5" ht="15.95" thickBot="1">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D7:E8"/>
    <mergeCell ref="D12:E16"/>
    <mergeCell ref="D39:E39"/>
    <mergeCell ref="H3:R3"/>
    <mergeCell ref="H4:Q4"/>
    <mergeCell ref="H5:H6"/>
    <mergeCell ref="H7:H11"/>
    <mergeCell ref="H25:K25"/>
    <mergeCell ref="I26:K26"/>
    <mergeCell ref="I27:K27"/>
    <mergeCell ref="H2:R2"/>
    <mergeCell ref="H12:L12"/>
    <mergeCell ref="H14:H15"/>
    <mergeCell ref="M12:R15"/>
    <mergeCell ref="H19:K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defaultColWidth="8.85546875" defaultRowHeight="15"/>
  <cols>
    <col min="1" max="1" width="7.140625" customWidth="1"/>
    <col min="2" max="2" width="64.42578125" customWidth="1"/>
  </cols>
  <sheetData>
    <row r="1" spans="1:4" ht="109.5" customHeight="1">
      <c r="A1" s="146" t="str">
        <f>'WRA Worksheet'!F1</f>
        <v>Assessment date: 01 Oct 2025 Prepared by Cameron Deelstra</v>
      </c>
      <c r="B1" s="147"/>
      <c r="C1" s="147"/>
      <c r="D1" s="98" t="s">
        <v>165</v>
      </c>
    </row>
    <row r="2" spans="1:4" ht="18.95">
      <c r="A2" s="143" t="s">
        <v>166</v>
      </c>
      <c r="B2" s="144"/>
      <c r="C2" s="73" t="s">
        <v>5</v>
      </c>
      <c r="D2" s="73" t="s">
        <v>6</v>
      </c>
    </row>
    <row r="3" spans="1:4" ht="15.95">
      <c r="A3" s="74">
        <v>1.01</v>
      </c>
      <c r="B3" s="75" t="s">
        <v>10</v>
      </c>
      <c r="C3" s="76" t="str">
        <f>'WRA Worksheet'!C3</f>
        <v>n</v>
      </c>
      <c r="D3" s="82">
        <f>'WRA Worksheet'!D3</f>
        <v>0</v>
      </c>
    </row>
    <row r="4" spans="1:4" ht="15.95">
      <c r="A4" s="74">
        <v>1.02</v>
      </c>
      <c r="B4" s="75" t="s">
        <v>13</v>
      </c>
      <c r="C4" s="76">
        <f>'WRA Worksheet'!C4</f>
        <v>0</v>
      </c>
      <c r="D4" s="82" t="str">
        <f>'WRA Worksheet'!D4</f>
        <v xml:space="preserve"> </v>
      </c>
    </row>
    <row r="5" spans="1:4" ht="15.95">
      <c r="A5" s="74">
        <v>1.03</v>
      </c>
      <c r="B5" s="75" t="s">
        <v>14</v>
      </c>
      <c r="C5" s="76">
        <f>'WRA Worksheet'!C5</f>
        <v>0</v>
      </c>
      <c r="D5" s="82" t="str">
        <f>'WRA Worksheet'!D5</f>
        <v xml:space="preserve"> </v>
      </c>
    </row>
    <row r="6" spans="1:4" ht="51.95">
      <c r="A6" s="74">
        <v>2.0099999999999998</v>
      </c>
      <c r="B6" s="77" t="s">
        <v>167</v>
      </c>
      <c r="C6" s="76">
        <f>'WRA Worksheet'!C6</f>
        <v>1</v>
      </c>
      <c r="D6" s="83"/>
    </row>
    <row r="7" spans="1:4" ht="15.95">
      <c r="A7" s="74">
        <v>2.02</v>
      </c>
      <c r="B7" s="75" t="s">
        <v>168</v>
      </c>
      <c r="C7" s="76">
        <f>'WRA Worksheet'!C7</f>
        <v>2</v>
      </c>
      <c r="D7" s="83"/>
    </row>
    <row r="8" spans="1:4" ht="15.95">
      <c r="A8" s="74">
        <v>2.0299999999999998</v>
      </c>
      <c r="B8" s="75" t="s">
        <v>19</v>
      </c>
      <c r="C8" s="76" t="str">
        <f>'WRA Worksheet'!C8</f>
        <v>n</v>
      </c>
      <c r="D8" s="82">
        <f>'WRA Worksheet'!D8</f>
        <v>0</v>
      </c>
    </row>
    <row r="9" spans="1:4" ht="51.95">
      <c r="A9" s="74">
        <v>2.04</v>
      </c>
      <c r="B9" s="78" t="s">
        <v>20</v>
      </c>
      <c r="C9" s="76" t="str">
        <f>'WRA Worksheet'!C9</f>
        <v>y</v>
      </c>
      <c r="D9" s="82">
        <f>'WRA Worksheet'!D9</f>
        <v>1</v>
      </c>
    </row>
    <row r="10" spans="1:4" ht="32.1">
      <c r="A10" s="74">
        <v>2.0499999999999998</v>
      </c>
      <c r="B10" s="75" t="s">
        <v>24</v>
      </c>
      <c r="C10" s="79" t="str">
        <f>'WRA Worksheet'!C10</f>
        <v>y</v>
      </c>
      <c r="D10" s="83"/>
    </row>
    <row r="11" spans="1:4" ht="15.95">
      <c r="A11" s="74">
        <v>3.01</v>
      </c>
      <c r="B11" s="75" t="s">
        <v>27</v>
      </c>
      <c r="C11" s="76" t="str">
        <f>'WRA Worksheet'!C11</f>
        <v>y</v>
      </c>
      <c r="D11" s="82">
        <f>'WRA Worksheet'!D11</f>
        <v>1</v>
      </c>
    </row>
    <row r="12" spans="1:4" ht="15.95">
      <c r="A12" s="74">
        <v>3.02</v>
      </c>
      <c r="B12" s="75" t="s">
        <v>28</v>
      </c>
      <c r="C12" s="76" t="str">
        <f>'WRA Worksheet'!C12</f>
        <v>n</v>
      </c>
      <c r="D12" s="82">
        <f>'WRA Worksheet'!D12</f>
        <v>0</v>
      </c>
    </row>
    <row r="13" spans="1:4" ht="15.95">
      <c r="A13" s="74">
        <v>3.03</v>
      </c>
      <c r="B13" s="75" t="s">
        <v>29</v>
      </c>
      <c r="C13" s="76" t="str">
        <f>'WRA Worksheet'!C13</f>
        <v>n</v>
      </c>
      <c r="D13" s="82">
        <f>'WRA Worksheet'!D13</f>
        <v>0</v>
      </c>
    </row>
    <row r="14" spans="1:4" ht="15.95">
      <c r="A14" s="74">
        <v>3.04</v>
      </c>
      <c r="B14" s="75" t="s">
        <v>30</v>
      </c>
      <c r="C14" s="76" t="str">
        <f>'WRA Worksheet'!C14</f>
        <v>y</v>
      </c>
      <c r="D14" s="82">
        <f>'WRA Worksheet'!D14</f>
        <v>2</v>
      </c>
    </row>
    <row r="15" spans="1:4" ht="15.95">
      <c r="A15" s="74">
        <v>3.05</v>
      </c>
      <c r="B15" s="75" t="s">
        <v>33</v>
      </c>
      <c r="C15" s="76" t="str">
        <f>'WRA Worksheet'!C15</f>
        <v>?</v>
      </c>
      <c r="D15" s="82" t="str">
        <f>'WRA Worksheet'!D15</f>
        <v/>
      </c>
    </row>
    <row r="16" spans="1:4" ht="15.95">
      <c r="A16" s="74">
        <v>4.01</v>
      </c>
      <c r="B16" s="75" t="s">
        <v>37</v>
      </c>
      <c r="C16" s="76" t="str">
        <f>'WRA Worksheet'!C16</f>
        <v>n</v>
      </c>
      <c r="D16" s="82">
        <f>'WRA Worksheet'!D16</f>
        <v>0</v>
      </c>
    </row>
    <row r="17" spans="1:4" ht="15.95">
      <c r="A17" s="74">
        <v>4.0199999999999996</v>
      </c>
      <c r="B17" s="75" t="s">
        <v>38</v>
      </c>
      <c r="C17" s="76" t="str">
        <f>'WRA Worksheet'!C17</f>
        <v>?</v>
      </c>
      <c r="D17" s="82" t="str">
        <f>'WRA Worksheet'!D17</f>
        <v xml:space="preserve"> </v>
      </c>
    </row>
    <row r="18" spans="1:4" ht="15.95">
      <c r="A18" s="74">
        <v>4.03</v>
      </c>
      <c r="B18" s="75" t="s">
        <v>41</v>
      </c>
      <c r="C18" s="76" t="str">
        <f>'WRA Worksheet'!C18</f>
        <v>n</v>
      </c>
      <c r="D18" s="82">
        <f>'WRA Worksheet'!D18</f>
        <v>0</v>
      </c>
    </row>
    <row r="19" spans="1:4" ht="15.95">
      <c r="A19" s="74">
        <v>4.04</v>
      </c>
      <c r="B19" s="75" t="s">
        <v>42</v>
      </c>
      <c r="C19" s="76" t="str">
        <f>'WRA Worksheet'!C19</f>
        <v>n</v>
      </c>
      <c r="D19" s="82">
        <f>'WRA Worksheet'!D19</f>
        <v>-1</v>
      </c>
    </row>
    <row r="20" spans="1:4" ht="15.95">
      <c r="A20" s="74">
        <v>4.05</v>
      </c>
      <c r="B20" s="75" t="s">
        <v>45</v>
      </c>
      <c r="C20" s="76" t="str">
        <f>'WRA Worksheet'!C20</f>
        <v>n</v>
      </c>
      <c r="D20" s="82">
        <f>'WRA Worksheet'!D20</f>
        <v>0</v>
      </c>
    </row>
    <row r="21" spans="1:4" ht="15.95">
      <c r="A21" s="74">
        <v>4.0599999999999996</v>
      </c>
      <c r="B21" s="75" t="s">
        <v>48</v>
      </c>
      <c r="C21" s="76" t="str">
        <f>'WRA Worksheet'!C21</f>
        <v>n</v>
      </c>
      <c r="D21" s="82">
        <f>'WRA Worksheet'!D21</f>
        <v>0</v>
      </c>
    </row>
    <row r="22" spans="1:4" ht="15.95">
      <c r="A22" s="74">
        <v>4.07</v>
      </c>
      <c r="B22" s="75" t="s">
        <v>51</v>
      </c>
      <c r="C22" s="76" t="str">
        <f>'WRA Worksheet'!C22</f>
        <v>n</v>
      </c>
      <c r="D22" s="82">
        <f>'WRA Worksheet'!D22</f>
        <v>0</v>
      </c>
    </row>
    <row r="23" spans="1:4" ht="15.95">
      <c r="A23" s="74">
        <v>4.08</v>
      </c>
      <c r="B23" s="75" t="s">
        <v>54</v>
      </c>
      <c r="C23" s="76" t="str">
        <f>'WRA Worksheet'!C23</f>
        <v>n</v>
      </c>
      <c r="D23" s="82">
        <f>'WRA Worksheet'!D23</f>
        <v>0</v>
      </c>
    </row>
    <row r="24" spans="1:4" ht="15.95">
      <c r="A24" s="74">
        <v>4.09</v>
      </c>
      <c r="B24" s="75" t="s">
        <v>57</v>
      </c>
      <c r="C24" s="76" t="str">
        <f>'WRA Worksheet'!C24</f>
        <v>y</v>
      </c>
      <c r="D24" s="82">
        <f>'WRA Worksheet'!D24</f>
        <v>1</v>
      </c>
    </row>
    <row r="25" spans="1:4" ht="32.1">
      <c r="A25" s="74">
        <v>4.0999999999999996</v>
      </c>
      <c r="B25" s="80" t="s">
        <v>60</v>
      </c>
      <c r="C25" s="76" t="str">
        <f>'WRA Worksheet'!C25</f>
        <v>y</v>
      </c>
      <c r="D25" s="82">
        <f>'WRA Worksheet'!D25</f>
        <v>1</v>
      </c>
    </row>
    <row r="26" spans="1:4" ht="15.95">
      <c r="A26" s="74">
        <v>4.1100000000000003</v>
      </c>
      <c r="B26" s="75" t="s">
        <v>63</v>
      </c>
      <c r="C26" s="76" t="str">
        <f>'WRA Worksheet'!C26</f>
        <v>n</v>
      </c>
      <c r="D26" s="82">
        <f>'WRA Worksheet'!D26</f>
        <v>0</v>
      </c>
    </row>
    <row r="27" spans="1:4" ht="15.95">
      <c r="A27" s="74">
        <v>4.12</v>
      </c>
      <c r="B27" s="75" t="s">
        <v>64</v>
      </c>
      <c r="C27" s="76" t="str">
        <f>'WRA Worksheet'!C27</f>
        <v>y</v>
      </c>
      <c r="D27" s="82">
        <f>'WRA Worksheet'!D27</f>
        <v>1</v>
      </c>
    </row>
    <row r="28" spans="1:4" ht="15.95">
      <c r="A28" s="74">
        <v>5.01</v>
      </c>
      <c r="B28" s="75" t="s">
        <v>67</v>
      </c>
      <c r="C28" s="76" t="str">
        <f>'WRA Worksheet'!C28</f>
        <v>y</v>
      </c>
      <c r="D28" s="82">
        <f>'WRA Worksheet'!D28</f>
        <v>5</v>
      </c>
    </row>
    <row r="29" spans="1:4" ht="15.95">
      <c r="A29" s="74">
        <v>5.0199999999999996</v>
      </c>
      <c r="B29" s="75" t="s">
        <v>70</v>
      </c>
      <c r="C29" s="76" t="str">
        <f>'WRA Worksheet'!C29</f>
        <v>n</v>
      </c>
      <c r="D29" s="82">
        <f>'WRA Worksheet'!D29</f>
        <v>0</v>
      </c>
    </row>
    <row r="30" spans="1:4" ht="15.95">
      <c r="A30" s="74">
        <v>5.03</v>
      </c>
      <c r="B30" s="75" t="s">
        <v>72</v>
      </c>
      <c r="C30" s="76" t="str">
        <f>'WRA Worksheet'!C30</f>
        <v>y</v>
      </c>
      <c r="D30" s="82">
        <f>'WRA Worksheet'!D30</f>
        <v>1</v>
      </c>
    </row>
    <row r="31" spans="1:4" ht="15.95">
      <c r="A31" s="74">
        <v>5.04</v>
      </c>
      <c r="B31" s="75" t="s">
        <v>75</v>
      </c>
      <c r="C31" s="76" t="str">
        <f>'WRA Worksheet'!C31</f>
        <v>n</v>
      </c>
      <c r="D31" s="82">
        <f>'WRA Worksheet'!D31</f>
        <v>0</v>
      </c>
    </row>
    <row r="32" spans="1:4" ht="15.95">
      <c r="A32" s="74">
        <v>6.01</v>
      </c>
      <c r="B32" s="75" t="s">
        <v>76</v>
      </c>
      <c r="C32" s="76" t="str">
        <f>'WRA Worksheet'!C32</f>
        <v>n</v>
      </c>
      <c r="D32" s="82">
        <f>'WRA Worksheet'!D32</f>
        <v>0</v>
      </c>
    </row>
    <row r="33" spans="1:4" ht="15.95">
      <c r="A33" s="74">
        <v>6.02</v>
      </c>
      <c r="B33" s="75" t="s">
        <v>77</v>
      </c>
      <c r="C33" s="76" t="str">
        <f>'WRA Worksheet'!C33</f>
        <v>y</v>
      </c>
      <c r="D33" s="82">
        <f>'WRA Worksheet'!D33</f>
        <v>1</v>
      </c>
    </row>
    <row r="34" spans="1:4" ht="15.95">
      <c r="A34" s="74">
        <v>6.03</v>
      </c>
      <c r="B34" s="75" t="s">
        <v>80</v>
      </c>
      <c r="C34" s="76" t="str">
        <f>'WRA Worksheet'!C34</f>
        <v>y</v>
      </c>
      <c r="D34" s="82">
        <f>'WRA Worksheet'!D34</f>
        <v>1</v>
      </c>
    </row>
    <row r="35" spans="1:4" ht="15.95">
      <c r="A35" s="74">
        <v>6.04</v>
      </c>
      <c r="B35" s="75" t="s">
        <v>83</v>
      </c>
      <c r="C35" s="76" t="str">
        <f>'WRA Worksheet'!C35</f>
        <v>y</v>
      </c>
      <c r="D35" s="82">
        <f>'WRA Worksheet'!D35</f>
        <v>1</v>
      </c>
    </row>
    <row r="36" spans="1:4" ht="15.95">
      <c r="A36" s="74">
        <v>6.05</v>
      </c>
      <c r="B36" s="75" t="s">
        <v>86</v>
      </c>
      <c r="C36" s="76" t="str">
        <f>'WRA Worksheet'!C36</f>
        <v>n</v>
      </c>
      <c r="D36" s="82">
        <f>'WRA Worksheet'!D36</f>
        <v>0</v>
      </c>
    </row>
    <row r="37" spans="1:4" ht="15.95">
      <c r="A37" s="74">
        <v>6.06</v>
      </c>
      <c r="B37" s="75" t="s">
        <v>89</v>
      </c>
      <c r="C37" s="76" t="str">
        <f>'WRA Worksheet'!C37</f>
        <v>?</v>
      </c>
      <c r="D37" s="82" t="str">
        <f>'WRA Worksheet'!D37</f>
        <v xml:space="preserve"> </v>
      </c>
    </row>
    <row r="38" spans="1:4" ht="15.95">
      <c r="A38" s="74">
        <v>6.07</v>
      </c>
      <c r="B38" s="75" t="s">
        <v>92</v>
      </c>
      <c r="C38" s="81" t="str">
        <f>'WRA Worksheet'!C38</f>
        <v>4 or more</v>
      </c>
      <c r="D38" s="82">
        <f>'WRA Worksheet'!D38</f>
        <v>-1</v>
      </c>
    </row>
    <row r="39" spans="1:4" ht="32.1">
      <c r="A39" s="74">
        <v>7.01</v>
      </c>
      <c r="B39" s="75" t="s">
        <v>96</v>
      </c>
      <c r="C39" s="76" t="str">
        <f>'WRA Worksheet'!C39</f>
        <v>n</v>
      </c>
      <c r="D39" s="82">
        <f>'WRA Worksheet'!D39</f>
        <v>-1</v>
      </c>
    </row>
    <row r="40" spans="1:4" ht="15.95">
      <c r="A40" s="74">
        <v>7.02</v>
      </c>
      <c r="B40" s="75" t="s">
        <v>97</v>
      </c>
      <c r="C40" s="76" t="str">
        <f>'WRA Worksheet'!C40</f>
        <v>y</v>
      </c>
      <c r="D40" s="82">
        <f>'WRA Worksheet'!D40</f>
        <v>1</v>
      </c>
    </row>
    <row r="41" spans="1:4" ht="15.95">
      <c r="A41" s="74">
        <v>7.03</v>
      </c>
      <c r="B41" s="75" t="s">
        <v>100</v>
      </c>
      <c r="C41" s="76" t="str">
        <f>'WRA Worksheet'!C41</f>
        <v>n</v>
      </c>
      <c r="D41" s="82">
        <f>'WRA Worksheet'!D41</f>
        <v>-1</v>
      </c>
    </row>
    <row r="42" spans="1:4" ht="15.95">
      <c r="A42" s="74">
        <v>7.04</v>
      </c>
      <c r="B42" s="75" t="s">
        <v>101</v>
      </c>
      <c r="C42" s="76" t="str">
        <f>'WRA Worksheet'!C42</f>
        <v>n</v>
      </c>
      <c r="D42" s="82">
        <f>'WRA Worksheet'!D42</f>
        <v>-1</v>
      </c>
    </row>
    <row r="43" spans="1:4" ht="15.95">
      <c r="A43" s="74">
        <v>7.05</v>
      </c>
      <c r="B43" s="75" t="s">
        <v>102</v>
      </c>
      <c r="C43" s="76" t="str">
        <f>'WRA Worksheet'!C43</f>
        <v>y</v>
      </c>
      <c r="D43" s="82">
        <f>'WRA Worksheet'!D43</f>
        <v>1</v>
      </c>
    </row>
    <row r="44" spans="1:4" ht="15.95">
      <c r="A44" s="74">
        <v>7.06</v>
      </c>
      <c r="B44" s="75" t="s">
        <v>105</v>
      </c>
      <c r="C44" s="76" t="str">
        <f>'WRA Worksheet'!C44</f>
        <v>n</v>
      </c>
      <c r="D44" s="82">
        <f>'WRA Worksheet'!D44</f>
        <v>-1</v>
      </c>
    </row>
    <row r="45" spans="1:4" ht="15.95">
      <c r="A45" s="74">
        <v>7.07</v>
      </c>
      <c r="B45" s="75" t="s">
        <v>106</v>
      </c>
      <c r="C45" s="76" t="str">
        <f>'WRA Worksheet'!C45</f>
        <v>n</v>
      </c>
      <c r="D45" s="82">
        <f>'WRA Worksheet'!D45</f>
        <v>-1</v>
      </c>
    </row>
    <row r="46" spans="1:4" ht="15.95">
      <c r="A46" s="74">
        <v>7.08</v>
      </c>
      <c r="B46" s="75" t="s">
        <v>107</v>
      </c>
      <c r="C46" s="76" t="str">
        <f>'WRA Worksheet'!C46</f>
        <v>n</v>
      </c>
      <c r="D46" s="82">
        <f>'WRA Worksheet'!D46</f>
        <v>-1</v>
      </c>
    </row>
    <row r="47" spans="1:4" ht="15.95">
      <c r="A47" s="74">
        <v>8.01</v>
      </c>
      <c r="B47" s="75" t="s">
        <v>108</v>
      </c>
      <c r="C47" s="76" t="str">
        <f>'WRA Worksheet'!C47</f>
        <v>?</v>
      </c>
      <c r="D47" s="82" t="str">
        <f>'WRA Worksheet'!D47</f>
        <v xml:space="preserve"> </v>
      </c>
    </row>
    <row r="48" spans="1:4" ht="15.95">
      <c r="A48" s="74">
        <v>8.02</v>
      </c>
      <c r="B48" s="75" t="s">
        <v>110</v>
      </c>
      <c r="C48" s="76" t="str">
        <f>'WRA Worksheet'!C48</f>
        <v>n</v>
      </c>
      <c r="D48" s="82">
        <f>'WRA Worksheet'!D48</f>
        <v>-1</v>
      </c>
    </row>
    <row r="49" spans="1:4" ht="15.95">
      <c r="A49" s="74">
        <v>8.0299999999999994</v>
      </c>
      <c r="B49" s="75" t="s">
        <v>113</v>
      </c>
      <c r="C49" s="76" t="str">
        <f>'WRA Worksheet'!C49</f>
        <v>?</v>
      </c>
      <c r="D49" s="82" t="str">
        <f>'WRA Worksheet'!D49</f>
        <v xml:space="preserve"> </v>
      </c>
    </row>
    <row r="50" spans="1:4" ht="15.95">
      <c r="A50" s="74">
        <v>8.0399999999999991</v>
      </c>
      <c r="B50" s="75" t="s">
        <v>115</v>
      </c>
      <c r="C50" s="76" t="str">
        <f>'WRA Worksheet'!C50</f>
        <v>n</v>
      </c>
      <c r="D50" s="82">
        <f>'WRA Worksheet'!D50</f>
        <v>-1</v>
      </c>
    </row>
    <row r="51" spans="1:4" ht="15.95">
      <c r="A51" s="74">
        <v>8.0500000000000007</v>
      </c>
      <c r="B51" s="67" t="s">
        <v>117</v>
      </c>
      <c r="C51" s="76" t="str">
        <f>'WRA Worksheet'!C51</f>
        <v>n</v>
      </c>
      <c r="D51" s="82">
        <f>'WRA Worksheet'!D51</f>
        <v>1</v>
      </c>
    </row>
    <row r="52" spans="1:4" ht="15.95">
      <c r="A52" s="31"/>
      <c r="B52" s="32" t="s">
        <v>118</v>
      </c>
      <c r="C52" s="145">
        <f>'WRA Worksheet'!D53</f>
        <v>9</v>
      </c>
      <c r="D52" s="145"/>
    </row>
    <row r="53" spans="1:4" ht="15.95">
      <c r="A53" s="33"/>
      <c r="B53" s="34" t="s">
        <v>169</v>
      </c>
      <c r="C53" s="145" t="str" cm="1">
        <f t="array" ref="C53">IF(OR('WRA Worksheet'!C71:D71="yes", 'WRA Worksheet'!C72:D72="yes", 'WRA Worksheet'!C73:D73="yes"),"yes","no")</f>
        <v>no</v>
      </c>
      <c r="D53" s="145"/>
    </row>
    <row r="54" spans="1:4" ht="15.95">
      <c r="A54" s="33"/>
      <c r="B54" s="34" t="s">
        <v>170</v>
      </c>
      <c r="C54" s="145" t="str">
        <f>IF(C53="yes", 'WRA Worksheet'!C74, 'WRA Worksheet'!D54)</f>
        <v>reject</v>
      </c>
      <c r="D54" s="145"/>
    </row>
    <row r="55" spans="1:4" ht="15.95" thickBot="1">
      <c r="A55" s="35"/>
      <c r="B55" s="36"/>
      <c r="C55" s="36"/>
      <c r="D55" s="37"/>
    </row>
    <row r="56" spans="1:4" ht="30.95" thickTop="1">
      <c r="A56" s="38" t="s">
        <v>171</v>
      </c>
      <c r="B56" s="39" t="s">
        <v>172</v>
      </c>
      <c r="C56" s="40" t="s">
        <v>122</v>
      </c>
      <c r="D56" s="37"/>
    </row>
    <row r="57" spans="1:4">
      <c r="A57" s="41" t="s">
        <v>123</v>
      </c>
      <c r="B57" s="42">
        <f>'WRA Worksheet'!C57</f>
        <v>10</v>
      </c>
      <c r="C57" s="43" t="str">
        <f>IF(B57&gt;=2,"yes","no")</f>
        <v>yes</v>
      </c>
      <c r="D57" s="37"/>
    </row>
    <row r="58" spans="1:4">
      <c r="A58" s="41" t="s">
        <v>124</v>
      </c>
      <c r="B58" s="42">
        <f>'WRA Worksheet'!C58</f>
        <v>11</v>
      </c>
      <c r="C58" s="43" t="str">
        <f>IF(B58&gt;=2,"yes","no")</f>
        <v>yes</v>
      </c>
      <c r="D58" s="37"/>
    </row>
    <row r="59" spans="1:4">
      <c r="A59" s="41" t="s">
        <v>125</v>
      </c>
      <c r="B59" s="42">
        <f>'WRA Worksheet'!C59</f>
        <v>20</v>
      </c>
      <c r="C59" s="43" t="str">
        <f>IF(B59&gt;=6,"yes","no")</f>
        <v>yes</v>
      </c>
      <c r="D59" s="37"/>
    </row>
    <row r="60" spans="1:4" ht="15.95" thickBot="1">
      <c r="A60" s="44" t="s">
        <v>126</v>
      </c>
      <c r="B60" s="45">
        <f>'WRA Worksheet'!C60</f>
        <v>41</v>
      </c>
      <c r="C60" s="46" t="str">
        <f>IF(C57="no","no",IF(C58="no","no",IF(C59="no","no","yes")))</f>
        <v>yes</v>
      </c>
      <c r="D60" s="37"/>
    </row>
    <row r="61" spans="1:4" ht="15.95" thickTop="1"/>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defaultColWidth="8.85546875" defaultRowHeight="15"/>
  <cols>
    <col min="1" max="1" width="5" customWidth="1"/>
    <col min="2" max="3" width="49.42578125" customWidth="1"/>
  </cols>
  <sheetData>
    <row r="1" spans="1:3" ht="28.5" customHeight="1">
      <c r="A1" s="47"/>
      <c r="B1" s="48" t="s">
        <v>8</v>
      </c>
      <c r="C1" s="49" t="s">
        <v>9</v>
      </c>
    </row>
    <row r="2" spans="1:3">
      <c r="A2" s="30">
        <v>1.01</v>
      </c>
      <c r="B2" s="50" t="str" cm="1">
        <f t="array" ref="B2:C50">'WRA Worksheet'!F3:G51</f>
        <v>No evidence.</v>
      </c>
      <c r="C2" s="51">
        <v>0</v>
      </c>
    </row>
    <row r="3" spans="1:3">
      <c r="A3" s="30">
        <v>1.02</v>
      </c>
      <c r="B3" s="50">
        <v>0</v>
      </c>
      <c r="C3" s="50">
        <v>0</v>
      </c>
    </row>
    <row r="4" spans="1:3">
      <c r="A4" s="30">
        <v>1.03</v>
      </c>
      <c r="B4" s="50">
        <v>0</v>
      </c>
      <c r="C4" s="50">
        <v>0</v>
      </c>
    </row>
    <row r="5" spans="1:3" ht="32.1">
      <c r="A5" s="30">
        <v>2.0099999999999998</v>
      </c>
      <c r="B5" s="52" t="str">
        <v>Taxon is suited for South Zone, moderately suited for Central Zone, and not well suited for North Zone.</v>
      </c>
      <c r="C5" s="53" t="str">
        <v>See attached climate suitability map</v>
      </c>
    </row>
    <row r="6" spans="1:3">
      <c r="A6" s="30">
        <v>2.02</v>
      </c>
      <c r="B6" s="53" t="str">
        <v>See attached climate suitability map</v>
      </c>
      <c r="C6" s="54">
        <v>0</v>
      </c>
    </row>
    <row r="7" spans="1:3">
      <c r="A7" s="30">
        <v>2.0299999999999998</v>
      </c>
      <c r="B7" s="54" t="str">
        <v>See attached climate suitability map</v>
      </c>
      <c r="C7" s="53">
        <v>0</v>
      </c>
    </row>
    <row r="8" spans="1:3" ht="15.95">
      <c r="A8" s="30">
        <v>2.04</v>
      </c>
      <c r="B8" s="51" t="str">
        <v>Taxon is adapted to areas with these levels of inundations (1)(2).
"It prefers a mean annual rainfall in the range 1,500 - 6,000mm, but tolerates 1,000 - 8,000mm (2)."</v>
      </c>
      <c r="C8" s="51" t="str">
        <v>(1) https://www.doc-developpement-durable.org/file/Culture/Arbres-Bois-de-Rapport-Reforestation/FICHES_ARBRES/Arbres-non-classes/B.gymno-largeleafmangrove.pdf
(2) https://tropical.theferns.info/viewtropical.php?id=Bruguiera+gymnorhiza</v>
      </c>
    </row>
    <row r="9" spans="1:3" ht="80.099999999999994">
      <c r="A9" s="30">
        <v>2.0499999999999998</v>
      </c>
      <c r="B9" s="51" t="str">
        <v>Taxon has established in Florida and Hawaii (1)(2).
"At least five other species of mangroves or associated species were introduced to Hawaii in the early 1900s, and while none has thrived to the degree of R. mangle, at least two have established selfmaintaining populations (Bruguiera gymnorrhiza and Conocarpus erectus) (1)."</v>
      </c>
      <c r="C9" s="53" t="str">
        <v>(1) https://www.fs.usda.gov/psw/publications/allen/psw_1998_allen001.pdf
(2) https://florida.plantatlas.usf.edu/plant/species/4390</v>
      </c>
    </row>
    <row r="10" spans="1:3" ht="63.95">
      <c r="A10" s="30">
        <v>3.01</v>
      </c>
      <c r="B10" s="51" t="str">
        <v>Taxon has established in Florida and Hawaii (1)(2).
"At least five other species of mangroves or associated species were introduced to Hawaii in the early 1900s, and while none has thrived to the degree of R. mangle, at least two have established selfmaintaining populations (Bruguiera gymnorrhiza and Conocarpus erectus) (1)."</v>
      </c>
      <c r="C10" s="53" t="str">
        <v>(1) https://www.fs.usda.gov/psw/publications/allen/psw_1998_allen001.pdf
(2) https://florida.plantatlas.usf.edu/plant/species/4390</v>
      </c>
    </row>
    <row r="11" spans="1:3" ht="80.099999999999994">
      <c r="A11" s="30">
        <v>3.02</v>
      </c>
      <c r="B11" s="50" t="str">
        <v>No evidence.</v>
      </c>
      <c r="C11" s="53">
        <v>0</v>
      </c>
    </row>
    <row r="12" spans="1:3" ht="32.1">
      <c r="A12" s="30">
        <v>3.03</v>
      </c>
      <c r="B12" s="50" t="str">
        <v>No evidence.</v>
      </c>
      <c r="C12" s="53">
        <v>0</v>
      </c>
    </row>
    <row r="13" spans="1:3" ht="63.95">
      <c r="A13" s="30">
        <v>3.04</v>
      </c>
      <c r="B13" s="51" t="str">
        <v>Mangrove species, including taxon, alter coastal environments (1)(2).
"Known negative impacts include reduction in habitat quality for endangered waterbirdsuch as the Hawaiian stilt (Himantopus mexicanus knudseni), colonization of habitats to the detriment of native species (e.g. in anchialine pools), overgrowing native Hawaiian archaeological sites, and causing drainage and aesthetic problems (1)."</v>
      </c>
      <c r="C13" s="53" t="str">
        <v>(1) https://www.fs.usda.gov/psw/publications/allen/psw_1998_allen001.pdf
(2) https://www.dendra.io/articles/mangrove-restoration-challenges-and-opportunities</v>
      </c>
    </row>
    <row r="14" spans="1:3" ht="32.1">
      <c r="A14" s="30">
        <v>3.05</v>
      </c>
      <c r="B14" s="51" t="str">
        <v>Other mangrove species have high invasion potential (1).</v>
      </c>
      <c r="C14" s="53" t="str">
        <v>(1) https://www.fs.usda.gov/psw/publications/allen/psw_1998_allen001.pdf</v>
      </c>
    </row>
    <row r="15" spans="1:3">
      <c r="A15" s="30">
        <v>4.01</v>
      </c>
      <c r="B15" s="50" t="str">
        <v>No evidence.</v>
      </c>
      <c r="C15" s="55">
        <v>0</v>
      </c>
    </row>
    <row r="16" spans="1:3" ht="15.95">
      <c r="A16" s="30">
        <v>4.0199999999999996</v>
      </c>
      <c r="B16" s="51" t="str">
        <v>Taxon may possess some allelopathic traits but more research is needed (1)(2).</v>
      </c>
      <c r="C16" s="51" t="str">
        <v>(1) https://researchoutput.csu.edu.au/ws/portalfiles/portal/26357490/43862_Sun_AllelopathyJ.pdf
(2) https://pmc.ncbi.nlm.nih.gov/articles/PMC9573700/</v>
      </c>
    </row>
    <row r="17" spans="1:3" ht="15.95">
      <c r="A17" s="30">
        <v>4.03</v>
      </c>
      <c r="B17" s="51" t="str">
        <v>No evidence.</v>
      </c>
      <c r="C17" s="51">
        <v>0</v>
      </c>
    </row>
    <row r="18" spans="1:3" ht="80.099999999999994">
      <c r="A18" s="30">
        <v>4.04</v>
      </c>
      <c r="B18" s="51" t="str">
        <v>Taxon is noted to be grazed by livestock in some regions (1)(2).</v>
      </c>
      <c r="C18" s="51" t="str">
        <v xml:space="preserve">(1) https://apps.worldagroforestry.org/treedb/AFTPDFS/Bruguiera_gymnorhiza.PDF
(2) 
  Hoppe-Speer, S. C. L., &amp; Adams, J. B. (2015). Cattle browsing impacts on stunted Avicennia marina mangrove trees. Aquatic Botany, 121, 9–15. https://doi.org/10.1016/j.aquabot.2014.10.010
</v>
      </c>
    </row>
    <row r="19" spans="1:3" ht="48">
      <c r="A19" s="30">
        <v>4.05</v>
      </c>
      <c r="B19" s="51" t="str">
        <v>Taxon has high levels of tannins and can be toxic in some cases, but is noted to be utilized as food and grazed by livestock in some regions (1)(2).</v>
      </c>
      <c r="C19" s="51" t="str">
        <v>(1) https://bioflux.com.ro/docs/2021.3721-3730.pdf
(2) https://apps.worldagroforestry.org/treedb/AFTPDFS/Bruguiera_gymnorhiza.PDF</v>
      </c>
    </row>
    <row r="20" spans="1:3" ht="63.95">
      <c r="A20" s="30">
        <v>4.0599999999999996</v>
      </c>
      <c r="B20" s="51" t="str">
        <v>"No serious diseases or pests are known for Bruguiera gymnorhiza. Seedlings may be attacked by mangrove crabs like Scylla serrata, Sesarma meinerti and Sesarma smithii. Sometimes plantations may suffer from caterpillars (1)."</v>
      </c>
      <c r="C20" s="51" t="str">
        <v>(1) https://prota.prota4u.org/protav8.asp?g=pe&amp;p=Bruguiera%20gymnorhiza</v>
      </c>
    </row>
    <row r="21" spans="1:3" ht="15.95">
      <c r="A21" s="30">
        <v>4.07</v>
      </c>
      <c r="B21" s="51" t="str">
        <v>Taxon has high levels of tannins and can be toxic in some cases, but is noted to be utilized as food in some regions (1)(2).
"The fruits are sometimes sold as a vegetable in local markets (1)."</v>
      </c>
      <c r="C21" s="51" t="str">
        <v>(1) https://tropical.theferns.info/viewtropical.php?id=Bruguiera+gymnorhiza
(2) https://bioflux.com.ro/docs/2021.3721-3730.pdf</v>
      </c>
    </row>
    <row r="22" spans="1:3" ht="32.1">
      <c r="A22" s="30">
        <v>4.08</v>
      </c>
      <c r="B22" s="51" t="str">
        <v>Mangrove species, including B. gymnorhiza, do not tolerate fire, leading to reduced vegetation/fuel load in mangrove swamps and coastal habitats for years post-fire (1)(2).</v>
      </c>
      <c r="C22" s="53" t="str">
        <v>(1) https://www.doc-developpement-durable.org/file/Culture/Arbres-Bois-de-Rapport-Reforestation/FICHES_ARBRES/Arbres-non-classes/B.gymno-largeleafmangrove.pdf
(2) https://www.marine.nsw.gov.au/news-and-more/newsroom/news/2023-news/wetlands-under-fire-how-did-the-black-summer-bushfires-impact-estuarine-wetlands#:~:text=These%20mangroves%20on%20the%20Clyde,new%20plants%20in%20many%20areas.%E2%80%9D</v>
      </c>
    </row>
    <row r="23" spans="1:3" ht="48">
      <c r="A23" s="30">
        <v>4.09</v>
      </c>
      <c r="B23" s="51" t="str">
        <v>Taxon is noted to be shade tolerant (1)(2).</v>
      </c>
      <c r="C23" s="51" t="str">
        <v>(1) https://apps.worldagroforestry.org/treedb/AFTPDFS/Bruguiera_gymnorhiza.PDF
(2) https://tropical.theferns.info/viewtropical.php?id=Bruguiera+gymnorhiza</v>
      </c>
    </row>
    <row r="24" spans="1:3" ht="32.1">
      <c r="A24" s="30">
        <v>4.0999999999999996</v>
      </c>
      <c r="B24" s="51" t="str">
        <v>Taxon grows well in a variety of soils (1)(2).
"It usually grows on somewhat dry, well-aerated soil but also on mud, sand and occasionally black, peaty soils (2)."</v>
      </c>
      <c r="C24" s="51" t="str">
        <v>(1) https://www.doc-developpement-durable.org/file/Culture/Arbres-Bois-de-Rapport-Reforestation/FICHES_ARBRES/Arbres-non-classes/B.gymno-largeleafmangrove.pdf
(2) https://prota.prota4u.org/protav8.asp?g=pe&amp;p=Bruguiera%20gymnorhiza</v>
      </c>
    </row>
    <row r="25" spans="1:3" ht="15.95">
      <c r="A25" s="30">
        <v>4.1100000000000003</v>
      </c>
      <c r="B25" s="51" t="str">
        <v>No evidence.</v>
      </c>
      <c r="C25" s="51">
        <v>0</v>
      </c>
    </row>
    <row r="26" spans="1:3" ht="15.95">
      <c r="A26" s="30">
        <v>4.12</v>
      </c>
      <c r="B26" s="51" t="str">
        <v>Mangrove species, including taxon, will commonly grow in dense thickets (1)(2). Taxon seeds will germinate while still attached to parent plant then fall to the ground quickly establishing a dense thicket (1)(2).</v>
      </c>
      <c r="C26" s="51" t="str">
        <v>(1) https://www.mozambiqueflora.com/speciesdata/species.php?species_id=180220
(2) https://www.doc-developpement-durable.org/file/Culture/Arbres-Bois-de-Rapport-Reforestation/FICHES_ARBRES/Arbres-non-classes/B.gymno-largeleafmangrove.pdf</v>
      </c>
    </row>
    <row r="27" spans="1:3" ht="15.95">
      <c r="A27" s="30">
        <v>5.01</v>
      </c>
      <c r="B27" s="51" t="str">
        <v>Taxon is an intertidal emergent species adapted to extended periods of innundation (1)(2).</v>
      </c>
      <c r="C27" s="51" t="str">
        <v>(1) https://www.mozambiqueflora.com/speciesdata/species.php?species_id=180220
(2) https://toptropicals.com/catalog/uid/bruguiera_gymnorrhiza.htm#:~:text=Botanical%20name:%20Bruguiera%20gymnorrhiza,more%20%2D%20about%20growing%20Lucky%20Mangrove.</v>
      </c>
    </row>
    <row r="28" spans="1:3" ht="15.95">
      <c r="A28" s="30">
        <v>5.0199999999999996</v>
      </c>
      <c r="B28" s="51" t="str">
        <v>Not of the Poaceae family</v>
      </c>
      <c r="C28" s="51">
        <v>0</v>
      </c>
    </row>
    <row r="29" spans="1:3" ht="15.95">
      <c r="A29" s="30">
        <v>5.03</v>
      </c>
      <c r="B29" s="51" t="str">
        <v>Taxon is noted to form mutualistic relationships with nitrogen-fixing bacteria (1).</v>
      </c>
      <c r="C29" s="51" t="str">
        <v>(1) Uchino, F., Hambali, G. G., &amp; Yatazawa, M. (1984). Nitrogen-Fixing Bacteria from Warty Lenticellate Bark of a Mangrove Tree, Bruguiera gymnorrhiza (L.) Lamk. Applied and environmental microbiology, 47(1), 44–48. https://doi.org/10.1128/aem.47.1.44-48.1984</v>
      </c>
    </row>
    <row r="30" spans="1:3" ht="15.95">
      <c r="A30" s="30">
        <v>5.04</v>
      </c>
      <c r="B30" s="51" t="str">
        <v>No evidence.</v>
      </c>
      <c r="C30" s="51">
        <v>0</v>
      </c>
    </row>
    <row r="31" spans="1:3" ht="27.95">
      <c r="A31" s="30">
        <v>6.01</v>
      </c>
      <c r="B31" s="50" t="str">
        <v>No evidence.</v>
      </c>
      <c r="C31" s="51">
        <v>0</v>
      </c>
    </row>
    <row r="32" spans="1:3" ht="48">
      <c r="A32" s="30">
        <v>6.02</v>
      </c>
      <c r="B32" s="51" t="str">
        <v>Taxon produces viable seeds (1)(2).
"the seeds germinate while still attached to the tree. After the seedlings are released they fall vertically into the mud and become established rapidly (1)."</v>
      </c>
      <c r="C32" s="51" t="str">
        <v>(1) https://prota.prota4u.org/protav8.asp?g=pe&amp;p=Bruguiera%20gymnorhiza
(2) http://www.mangrove.at/bruguiera-gymnorhiza_large_leafed-orange-mangrove.html</v>
      </c>
    </row>
    <row r="33" spans="1:3" ht="48">
      <c r="A33" s="30">
        <v>6.03</v>
      </c>
      <c r="B33" s="51" t="str">
        <v>Taxon is known to hybridize with B. sexangula and B. cylindrica(1)(2).</v>
      </c>
      <c r="C33" s="51" t="str">
        <v xml:space="preserve">(1) https://www.doc-developpement-durable.org/file/Culture/Arbres-Bois-de-Rapport-Reforestation/FICHES_ARBRES/Arbres-non-classes/B.gymno-largeleafmangrove.pdf
(2) 
  Shearman, J. R., Naktang, C., Sonthirod, C., Kongkachana, W., U-thoomporn, S., Jomchai, N., Maknual, C., Yamprasai, S., Promchoo, W., Ruang-areerate, P., Pootakham, W., &amp; Tangphatsornruang, S. (2022). Assembly of a hybrid mangrove, Bruguiera hainesii, and its two ancestral contributors, Bruguiera cylindrica and Bruguiera gymnorhiza. Genomics (San Diego, Calif.), 114(3), Article 110382. https://doi.org/10.1016/j.ygeno.2022.110382
</v>
      </c>
    </row>
    <row r="34" spans="1:3" ht="32.1">
      <c r="A34" s="30">
        <v>6.04</v>
      </c>
      <c r="B34" s="51" t="str">
        <v>Taxon is self-pollinating (1)(2).
"The majority of the mangrove plants are hermaphrodites with perfect flowers containing both stamens and carpels. The Rhizophora, Bruguiera and Sonneratia species belong to this group (1)."</v>
      </c>
      <c r="C34" s="51" t="str">
        <v xml:space="preserve">(1) https://www.sciencedirect.com/topics/agricultural-and-biological-sciences/bruguiera#:~:text=Reproductive%20Adaptations,regular%20visitors%20of%20Bruguiera%20flowers.
(2) 
  Miryeganeh, M., Marlétaz, F., Gavriouchkina, D., &amp; Saze, H. (2022). De novo genome assembly and in natura epigenomics reveal salinity‐induced DNA methylation in the mangrove tree Bruguiera gymnorhiza. The New Phytologist, 233(5), 2094–2110. https://doi.org/10.1111/nph.17738
</v>
      </c>
    </row>
    <row r="35" spans="1:3" ht="15.95">
      <c r="A35" s="30">
        <v>6.05</v>
      </c>
      <c r="B35" s="51" t="str">
        <v>Taxon flowers attract generalist pollinators (1)(2).
"The flowers are visited by birds such as honey eaters and by insects (1)."</v>
      </c>
      <c r="C35" s="51" t="str">
        <v>(1) https://prota.prota4u.org/protav8.asp?g=pe&amp;p=Bruguiera%20gymnorhiza
(2) https://apps.worldagroforestry.org/treedb/AFTPDFS/Bruguiera_gymnorhiza.PDF</v>
      </c>
    </row>
    <row r="36" spans="1:3" ht="15.95">
      <c r="A36" s="30">
        <v>6.06</v>
      </c>
      <c r="B36" s="51" t="str">
        <v>Taxon can but does not commonly reproduce vegetatively (1)(2).
"Propagation by cuttings is very difficult and trees suffer when branches are taken off (1)."</v>
      </c>
      <c r="C36" s="51" t="str">
        <v>(1) https://prota.prota4u.org/protav8.asp?g=pe&amp;p=Bruguiera%20gymnorhiza
(2) https://www.researchgate.net/publication/380935595_African_Journal_of_Biological_Sciences_Vegetative_propagation_of_Bruguiera_gymnorrhiza_An_effort_to_conserve_the_rare_degrading_black_mangrove_of_Indian_West_Coast</v>
      </c>
    </row>
    <row r="37" spans="1:3" ht="15.95">
      <c r="A37" s="30">
        <v>6.07</v>
      </c>
      <c r="B37" s="51" t="str">
        <v>Generation time may take approximatley 5 years (1)(2).
"Young Bruguiera gymnorhiza plants develop their first flowers with an age of about five years (2)."</v>
      </c>
      <c r="C37" s="51" t="str">
        <v>(1) https://www.researchgate.net/post/How_long_does_it_usually_takes_to_attain_reproductive_maturity_for_Bruguiera_gymnorrhiza_Nypa_fruticans_and_Rhizophora_mucronata#:~:text=All%20Answers%20(4),University%20of%20Burdwan
(2) http://www.mangrove.at/bruguiera-gymnorhiza_large_leafed-orange-mangrove.html#:~:text=Bruguiera%20gymnorhiza%20grows%20about%2020,always%20develops%20single%20axillary%20flowers.</v>
      </c>
    </row>
    <row r="38" spans="1:3" ht="80.099999999999994">
      <c r="A38" s="30">
        <v>7.01</v>
      </c>
      <c r="B38" s="51" t="str">
        <v>No evidence.</v>
      </c>
      <c r="C38" s="51">
        <v>0</v>
      </c>
    </row>
    <row r="39" spans="1:3" ht="32.1">
      <c r="A39" s="30">
        <v>7.02</v>
      </c>
      <c r="B39" s="51" t="str">
        <v>Taxon has been cultivated in some regions for coastal erosion control and other uses (1)(2).
"one reason B. gymnorrhiza isnot more common in Hawaii may be that many trees are cut down to facilitate harvesting of the flowers (2)."</v>
      </c>
      <c r="C39" s="51" t="str">
        <v>(1) https://prota.prota4u.org/protav8.asp?g=pe&amp;p=Bruguiera%20gymnorhiza
(2) https://www.fs.usda.gov/psw/publications/allen/psw_1998_allen001.pdf</v>
      </c>
    </row>
    <row r="40" spans="1:3" ht="63.95">
      <c r="A40" s="30">
        <v>7.03</v>
      </c>
      <c r="B40" s="50" t="str">
        <v>No evidence.</v>
      </c>
      <c r="C40" s="51">
        <v>0</v>
      </c>
    </row>
    <row r="41" spans="1:3" ht="15.95">
      <c r="A41" s="30">
        <v>7.04</v>
      </c>
      <c r="B41" s="51" t="str">
        <v>No evidence.</v>
      </c>
      <c r="C41" s="51">
        <v>0</v>
      </c>
    </row>
    <row r="42" spans="1:3" ht="15.95">
      <c r="A42" s="30">
        <v>7.05</v>
      </c>
      <c r="B42" s="51" t="str">
        <v>Taxon is adapted to hydrochory (1)(2).
"The fruits (seedlings) are dispersed by water. They can remain alive, floating in the water, for 5–6 months, which may explain the large area of distribution (1)."</v>
      </c>
      <c r="C42" s="51" t="str">
        <v>(1) https://prota.prota4u.org/protav8.asp?g=pe&amp;p=Bruguiera%20gymnorhiza
(2) https://www.doc-developpement-durable.org/file/Culture/Arbres-Bois-de-Rapport-Reforestation/FICHES_ARBRES/Arbres-non-classes/B.gymno-largeleafmangrove.pdf</v>
      </c>
    </row>
    <row r="43" spans="1:3" ht="15.95">
      <c r="A43" s="30">
        <v>7.06</v>
      </c>
      <c r="B43" s="51" t="str">
        <v>No evidence.</v>
      </c>
      <c r="C43" s="51">
        <v>0</v>
      </c>
    </row>
    <row r="44" spans="1:3" ht="32.1">
      <c r="A44" s="30">
        <v>7.07</v>
      </c>
      <c r="B44" s="51" t="str">
        <v>No evidence.</v>
      </c>
      <c r="C44" s="51">
        <v>0</v>
      </c>
    </row>
    <row r="45" spans="1:3" ht="32.1">
      <c r="A45" s="30">
        <v>7.08</v>
      </c>
      <c r="B45" s="50" t="str">
        <v>No evidence.</v>
      </c>
      <c r="C45" s="51">
        <v>0</v>
      </c>
    </row>
    <row r="46" spans="1:3" ht="48">
      <c r="A46" s="30">
        <v>8.01</v>
      </c>
      <c r="B46" s="50" t="str">
        <v>Number of propagules produced annually is not well known.</v>
      </c>
      <c r="C46" s="51">
        <v>0</v>
      </c>
    </row>
    <row r="47" spans="1:3" ht="48">
      <c r="A47" s="30">
        <v>8.02</v>
      </c>
      <c r="B47" s="51" t="str">
        <v>Propagules are noted to float and only last for 5-6 months if not planted (1).
"Seedlings can remain alive, floating in the water, for 5 - 6 months, which possibly explains the large area of natural distribution (1)"</v>
      </c>
      <c r="C47" s="51" t="str">
        <v>(1) https://tropical.theferns.info/viewtropical.php?id=Bruguiera+gymnorhiza</v>
      </c>
    </row>
    <row r="48" spans="1:3" ht="48">
      <c r="A48" s="30">
        <v>8.0299999999999994</v>
      </c>
      <c r="B48" s="51" t="str">
        <v>Taxon vulnerability to herbicides is not well known.</v>
      </c>
      <c r="C48" s="51">
        <v>0</v>
      </c>
    </row>
    <row r="49" spans="1:3" ht="48">
      <c r="A49" s="30">
        <v>8.0399999999999991</v>
      </c>
      <c r="B49" s="51" t="str">
        <v>Taxon is noted to be harmed by cutting and mutilation (1).
"Propagation by cuttings is very difficult and trees suffer when branches are taken off (1)."</v>
      </c>
      <c r="C49" s="51" t="str">
        <v>(1) https://prota.prota4u.org/protav8.asp?g=pe&amp;p=Bruguiera%20gymnorhiza</v>
      </c>
    </row>
    <row r="50" spans="1:3">
      <c r="A50" s="30">
        <v>8.0500000000000007</v>
      </c>
      <c r="B50" s="50" t="str">
        <v>No evidence.</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413b67428e06e4fbe1596370e8681275">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c5fcf276c65ab6b33a94e4b45a17df5b"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Props1.xml><?xml version="1.0" encoding="utf-8"?>
<ds:datastoreItem xmlns:ds="http://schemas.openxmlformats.org/officeDocument/2006/customXml" ds:itemID="{C72C3439-75BE-411A-8E6B-DF10E44BED25}"/>
</file>

<file path=customXml/itemProps2.xml><?xml version="1.0" encoding="utf-8"?>
<ds:datastoreItem xmlns:ds="http://schemas.openxmlformats.org/officeDocument/2006/customXml" ds:itemID="{BD47EF31-B5F1-43BE-9687-3701555FCD76}"/>
</file>

<file path=customXml/itemProps3.xml><?xml version="1.0" encoding="utf-8"?>
<ds:datastoreItem xmlns:ds="http://schemas.openxmlformats.org/officeDocument/2006/customXml" ds:itemID="{624714E1-6774-437D-801A-4B8EB940739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Deelstra, Cameron</cp:lastModifiedBy>
  <cp:revision/>
  <dcterms:created xsi:type="dcterms:W3CDTF">2021-06-15T16:34:22Z</dcterms:created>
  <dcterms:modified xsi:type="dcterms:W3CDTF">2025-10-03T12:51:09Z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