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defaultThemeVersion="166925"/>
  <mc:AlternateContent xmlns:mc="http://schemas.openxmlformats.org/markup-compatibility/2006">
    <mc:Choice Requires="x15">
      <x15ac:absPath xmlns:x15ac="http://schemas.microsoft.com/office/spreadsheetml/2010/11/ac" url="/Users/CD/Downloads/"/>
    </mc:Choice>
  </mc:AlternateContent>
  <xr:revisionPtr revIDLastSave="210" documentId="13_ncr:1_{FED52C3E-2D46-ED48-9077-3736DDF755CB}" xr6:coauthVersionLast="47" xr6:coauthVersionMax="47" xr10:uidLastSave="{39C19550-AA3E-47B3-9A9C-F5479218A305}"/>
  <bookViews>
    <workbookView xWindow="17260" yWindow="564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C53" i="3" l="1" a="1"/>
  <c r="C53" i="3" s="1"/>
  <c r="C74" i="1"/>
  <c r="D59" i="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<sst xmlns="http://schemas.openxmlformats.org/spreadsheetml/2006/main" count="341" uniqueCount="170">
  <si>
    <t>Species:</t>
  </si>
  <si>
    <t>Abutilon megapotamicum</t>
  </si>
  <si>
    <r>
      <rPr>
        <sz val="11"/>
        <color rgb="FF000000"/>
        <rFont val="Calibri"/>
      </rPr>
      <t>Assessment date:</t>
    </r>
    <r>
      <rPr>
        <sz val="11"/>
        <color rgb="FFFF0000"/>
        <rFont val="Calibri"/>
      </rPr>
      <t xml:space="preserve"> 22 Oct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</si>
  <si>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</si>
  <si>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</si>
  <si>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</si>
  <si>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</si>
  <si>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</si>
  <si>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</si>
  <si>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</si>
  <si>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</si>
  <si>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</si>
  <si>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</si>
  <si>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</si>
  <si>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</si>
  <si>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</si>
  <si>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Taxon is highly suited to grow across Florida.</t>
  </si>
  <si>
    <t>See climate suitability maps.</t>
  </si>
  <si>
    <t>Quality of climate match data (1-low; 2-intermediate; 3-high)</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</si>
  <si>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</si>
  <si>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</si>
  <si>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</si>
  <si>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Taxon grows best when soil is consistently moist. Taxon is not tolerant of drought. Native range has average precipitation of 500mm to 1100mm (1)(2)(3).
"Abutilon plants have average water needs. Avoid letting the soil dry out completely for long periods of time, but don't water so often that abutilons are sitting in water, either (1)."</t>
  </si>
  <si>
    <t>(1) https://www.thespruce.com/how-to-care-for-abutilon-plants-3976754#
(2) https://hayloft.co.uk/how-to-grow-abutilon-megapotanicum
(3) https://www.cpc.ncep.noaa.gov/products/Precip_Monitoring/Figures/SA/p.180day.figa.gif</t>
  </si>
  <si>
    <t>Does the species have a history of repeated introductions outside its natural range?</t>
  </si>
  <si>
    <t>Taxon is noted to occur outside of its native range including North America, Europe, and Australia (1)</t>
  </si>
  <si>
    <t>(1) https://www.gbif.org/species/3937501</t>
  </si>
  <si>
    <t>Naturalized beyond native range</t>
  </si>
  <si>
    <t>Taxon is naturalized in New Zealand (1). Populations sizes are small and scattered, but taxon is noted to occur outside of its native range including North America, Europe, and Australia suggesting other regions where taxon is naturalized (2)</t>
  </si>
  <si>
    <t>(1) https://floraseries.landcareresearch.co.nz/taxa/addab8a8-2af6-4c2b-ace0-1b8d41e5cbb0
(2) https://www.gbif.org/species/3937501</t>
  </si>
  <si>
    <t>Garden/amenity/disturbance weed</t>
  </si>
  <si>
    <t>Taxon is not listed as an invasive or weedy plant.</t>
  </si>
  <si>
    <t>Weed of agriculture</t>
  </si>
  <si>
    <t>Environmental weed</t>
  </si>
  <si>
    <t>Environmental impacts of taxon are not well known.</t>
  </si>
  <si>
    <t>Congeneric weed</t>
  </si>
  <si>
    <t>A. theophrasti is a considered a weed in the U.S. (1)(2).
"An important fibre plant in Asia is A. theophrasti, called China jute; it is a very serious field weed in the United States, where it is called velvetleaf or Indian mallow (1)."</t>
  </si>
  <si>
    <t>(1) https://www.britannica.com/plant/Abutilon
(2) https://hort.extension.wisc.edu/articles/velvetleaf-abutilon-theophrasti/</t>
  </si>
  <si>
    <t>Produces spines, thorns or burrs</t>
  </si>
  <si>
    <t>Allelopathic</t>
  </si>
  <si>
    <t>?</t>
  </si>
  <si>
    <t>Allelopathic traits of taxon are not well known. However, congener, A. theophrasti is noted to be allelpathic (1).</t>
  </si>
  <si>
    <t>(1) Shi, S., Cheng, J., Ahmad, N., Zhao, W., Tian, M., Yuan, Z., Li, C., &amp; Zhao, C. (2023). Effects of potential allelochemicals in a water extract of Abutilon theophrasti Medik. on germination and growth of Glycine max L., Triticum aestivum L., and Zea mays L. Journal of the science of food and agriculture, 103(4), 2155–2165. https://doi.org/10.1002/jsfa.12315</t>
  </si>
  <si>
    <t>Parasitic</t>
  </si>
  <si>
    <t>Unpalatable to grazing animals</t>
  </si>
  <si>
    <t>Taxon is not toxic (1)(2).</t>
  </si>
  <si>
    <t>(1) https://www.gardenersworld.com/plants/abutilon-megapotamicum/
(2) https://www.gfloutdoors.com/abutilon-megapotamicum-care-everything-you-need-to-know/</t>
  </si>
  <si>
    <t>Toxic to animals</t>
  </si>
  <si>
    <t>Host for recognised pests and pathogens</t>
  </si>
  <si>
    <t>Taxon is noted to be relatively pest free and not a host for common agricultural pests and pathogens (1)(2).</t>
  </si>
  <si>
    <t>(1) https://hayloft.co.uk/how-to-grow-abutilon-megapotanicum
(2) https://blog.hardyplantsociety.org/brazilian-bombshell-spice-northwest-gardens-abutilon-megapotamicum/</t>
  </si>
  <si>
    <t>Causes allergies or is otherwise toxic to humans</t>
  </si>
  <si>
    <t>Creates a fire hazard in natural ecosystems</t>
  </si>
  <si>
    <t>Is a shade tolerant plant at some stage of its life cycle</t>
  </si>
  <si>
    <t>Taxon grows best in partial shade (1)(2).
"Although they will grow in full sun, abutilons are best in dappled shade in rich soil. The leaves of some variegated cultivars can be scorched by too much sunlight (1)."</t>
  </si>
  <si>
    <t>(1) https://www.gardensillustrated.com/plants/summer/abutilon-how-to-grow
(2) https://plantlust.com/plants/6137/abutilon-megapotamicum/#:~:text=Size%20*%20sun%20%2D%20dappled%20shade.%20*%20regular.</t>
  </si>
  <si>
    <t>Grows on infertile soils (oligotrophic, limerock, or excessively draining soils).  North &amp; Central Zones: infertile soils; South Zone: shallow limerock or Histisols.</t>
  </si>
  <si>
    <t>Taxon grows best in well-drained soil that has plenty of nutrients (1)(2).
"Easy to grow in most any soil of moist but well-drained to somewhat dry soil of average fertility and full sun to part shade... (1)"</t>
  </si>
  <si>
    <t>(1) https://www.wilsonbrosgardens.com/abutilon-megapotamicum-brazilian-bellflower-2g.html#
(2) https://www.gardensillustrated.com/plants/summer/abutilon-how-to-grow</t>
  </si>
  <si>
    <t>Climbing or smothering growth habit</t>
  </si>
  <si>
    <t xml:space="preserve">Taxon is noted to grow and spread over surrounding vegetation and objects (1)(2).
"Some abutilons spread and vine more than others, in which case a trellis is warranted (1)." </t>
  </si>
  <si>
    <t>(1) https://www.thespruce.com/how-to-care-for-abutilon-plants-3976754#
(2) https://blog.hardyplantsociety.org/brazilian-bombshell-spice-northwest-gardens-abutilon-megapotamicum/</t>
  </si>
  <si>
    <t>Forms dense thickets</t>
  </si>
  <si>
    <t>Taxon is a perennial shrub growing  up to 10 feet wide and 10 feet tall (1)(2).</t>
  </si>
  <si>
    <t>(1) https://plantlust.com/plants/6137/abutilon-megapotamicum/#:~:text=Size%20*%20sun%20%2D%20dappled%20shade.%20*%20regular.
(2) https://pfaf.org/user/Plant.aspx?LatinName=Abutilon+megapotamicum#:~:text=Summary,It%20prefers%20moist%20soil.</t>
  </si>
  <si>
    <t>Aquatic</t>
  </si>
  <si>
    <t>Taxon is a terrestrial plant.</t>
  </si>
  <si>
    <t>Grass</t>
  </si>
  <si>
    <t>Not of the poaceae family.</t>
  </si>
  <si>
    <t>Nitrogen fixing woody plant</t>
  </si>
  <si>
    <t>Geophyte</t>
  </si>
  <si>
    <t>Evidence of substantial reproductive failure in native habitat</t>
  </si>
  <si>
    <t>Taxon occurance in wild situations is not well known (1). Taxon synonym Callianthe megapotamica may be considered threatened in native range (2).</t>
  </si>
  <si>
    <t>(1) https://tropical.theferns.info/viewtropical.php?id=Abutilon+megapotamicum#:~:text=Widely%20cultivated%20in%20the%20Tropics,in%20a%20truly%20wild%20situation.
(2) https://powo.science.kew.org/taxon/urn:lsid:ipni.org:names:77146519-1/general-information</t>
  </si>
  <si>
    <t>Produces viable seed</t>
  </si>
  <si>
    <t>Taxon propagates by seed and vegetatively (1)(2).</t>
  </si>
  <si>
    <t>(1) https://pfaf.org/user/Plant.aspx?LatinName=Abutilon+megapotamicum#
(2) https://www.gardenia.net/plant/abutilon-megapotamicum</t>
  </si>
  <si>
    <t>Hybridizes naturally</t>
  </si>
  <si>
    <t>Taxon can be cross-pollinated with other plants to produce cultivars of hybrid ornamental plants (1). Hybridization in the wild is unknown (2).</t>
  </si>
  <si>
    <t xml:space="preserve">(1) https://plantlust.com/plants/43266/abutilon-megapotamicum-hybrid-uc-davis-white/#:~:text=Abutilon%20megapotamicum%20hybrid%20%5BUC%20Davis%20White%5D%20plant%20details,heat%20tolerant%20and%20humidity%20tolerant.
(2) https://tropical.theferns.info/viewtropical.php?id=Abutilon+megapotamicum#:~:text=Widely%20cultivated%20in%20the%20Tropics,in%20a%20truly%20wild%20situation.
</t>
  </si>
  <si>
    <t>Self-compatible or apomictic</t>
  </si>
  <si>
    <t>Limited information supporting self-pollination, but it may occur (1).</t>
  </si>
  <si>
    <t>(1) https://greg.app/abutilon-lifecycle/</t>
  </si>
  <si>
    <t>Requires specialist pollinators</t>
  </si>
  <si>
    <t>Taxon attracts generalist pollinators (1).
"attracts plenty of beneficial pollinators with its colorful flowers. You can expect bees, butterflies, and even hummingbirds to get to your garden (1)."</t>
  </si>
  <si>
    <t>(1) https://www.gfloutdoors.com/abutilon-megapotamicum-care-everything-you-need-to-know/
(2) https://www.gardenia.net/plants/genera/abutilon#:~:text=Some%20taller%20varieties%20can%20serve,to%20a%20healthier%20garden%20ecosystem.</t>
  </si>
  <si>
    <t>Reproduction by vegetative propagation</t>
  </si>
  <si>
    <t>Taxon can reproduce via seed and cuttings (1)(2).</t>
  </si>
  <si>
    <t>(1) https://www.gardenia.net/plant/abutilon-megapotamicum
(2) https://tropical.theferns.info/viewtropical.php?id=Abutilon+megapotamicum#</t>
  </si>
  <si>
    <t>Minimum generative time (years)</t>
  </si>
  <si>
    <t>1 or fewer</t>
  </si>
  <si>
    <t>Generative time is not well known and depends on propagation method (1).
"Under optimal conditions, Abutilon can reach maturity within just one year (2)."</t>
  </si>
  <si>
    <t>(1) https://www.thespruce.com/how-to-care-for-abutilon-plants-3976754#
(2) https://greg.app/abutilon-lifecycle/</t>
  </si>
  <si>
    <t>Propagules likely to be dispersed unintentionally (plants growing in heavily trafficked areas)</t>
  </si>
  <si>
    <t>No evidence of traits that aid propagule dispersal (1).</t>
  </si>
  <si>
    <t>() https://www.eattheweeds.com/tag/abutilon-megapotamicum/#:~:text=In%201751%20the%20Gardener's%20Dictionary,edition%20of%20his%20Gardener's%20Dictionary.</t>
  </si>
  <si>
    <t>Propagules dispersed intentionally by people</t>
  </si>
  <si>
    <t>Taxon is commonly cultivated as an ornamental plant (1)(2).</t>
  </si>
  <si>
    <t>(1) https://tropical.theferns.info/viewtropical.php?id=Abutilon+megapotamicum#:~:text=Widely%20cultivated%20in%20the%20Tropics,in%20a%20truly%20wild%20situation.
(2) https://www.thespruce.com/how-to-care-for-abutilon-plants-3976754#</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</si>
  <si>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</si>
  <si>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</si>
  <si>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</si>
  <si>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</si>
  <si>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</si>
  <si>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</si>
  <si>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</si>
  <si>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Number of seeds per plant is not well known.</t>
  </si>
  <si>
    <t>Evidence that a persistent propagule bank is formed (&gt;1 yr)</t>
  </si>
  <si>
    <t>Well controlled by herbicides</t>
  </si>
  <si>
    <t>Taxon vulnerability to herbicides is not well known.</t>
  </si>
  <si>
    <t>Tolerates, or benefits from, mutilation or cultivation</t>
  </si>
  <si>
    <t>Taxon is noted to reproduce vegetatively so cutting, mutilation, and other disturbances may benefit taxon (1).</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</si>
  <si>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</si>
  <si>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</si>
  <si>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</si>
  <si>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</si>
  <si>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</si>
  <si>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</si>
  <si>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</si>
  <si>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</si>
  <si>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</si>
  <si>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</si>
  <si>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</si>
  <si>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</si>
  <si>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</si>
  <si>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yes</t>
  </si>
  <si>
    <t xml:space="preserve"> Taxon is clearly bird- or wind-dispersed?</t>
  </si>
  <si>
    <t>no</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</si>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</sst>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Protection="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zoomScale="125" zoomScaleNormal="125" workbookViewId="0">
      <pane xSplit="1" topLeftCell="B57" activePane="topRight" state="frozen"/>
      <selection pane="topRight" activeCell="C71" sqref="C71"/>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03" t="s">
        <v>2</v>
      </c>
      <c r="G1" s="56"/>
    </row>
    <row r="2" spans="1:8" s="17" customFormat="1" ht="30.75" customHeight="1">
      <c r="A2" s="18" t="s">
        <v>3</v>
      </c>
      <c r="B2" s="18" t="s">
        <v>4</v>
      </c>
      <c r="C2" s="18" t="s">
        <v>5</v>
      </c>
      <c r="D2" s="18" t="s">
        <v>6</v>
      </c>
      <c r="E2" s="88" t="s">
        <v>7</v>
      </c>
      <c r="F2" s="18" t="s">
        <v>8</v>
      </c>
      <c r="G2" s="18" t="s">
        <v>9</v>
      </c>
      <c r="H2" s="102"/>
    </row>
    <row r="3" spans="1:8">
      <c r="A3" s="66">
        <v>1.01</v>
      </c>
      <c r="B3" s="67" t="s">
        <v>10</v>
      </c>
      <c r="C3" s="56" t="s">
        <v>11</v>
      </c>
      <c r="D3" s="59">
        <f>IF(C3="Y",-3,IF(C3="N",0," "))</f>
        <v>0</v>
      </c>
      <c r="E3" s="57"/>
      <c r="F3" s="99" t="s">
        <v>12</v>
      </c>
      <c r="G3" s="64"/>
    </row>
    <row r="4" spans="1:8" ht="15.95">
      <c r="A4" s="66">
        <v>1.02</v>
      </c>
      <c r="B4" s="67" t="s">
        <v>13</v>
      </c>
      <c r="C4" s="56"/>
      <c r="D4" s="59" t="str">
        <f>IF(C4="n",VLOOKUP(LUT!C5,LUT!C4:E52,2),IF(C4="y",VLOOKUP(LUT!C5,LUT!C4:E52,3)," "))</f>
        <v xml:space="preserve"> </v>
      </c>
      <c r="E4" s="57"/>
      <c r="F4" s="64"/>
      <c r="G4" s="64"/>
    </row>
    <row r="5" spans="1:8" ht="15.95">
      <c r="A5" s="66">
        <v>1.03</v>
      </c>
      <c r="B5" s="67" t="s">
        <v>14</v>
      </c>
      <c r="C5" s="56"/>
      <c r="D5" s="59" t="str">
        <f>IF(C5="Y",1,IF(C5="N",-1," "))</f>
        <v xml:space="preserve"> </v>
      </c>
      <c r="E5" s="57"/>
      <c r="F5" s="64"/>
      <c r="G5" s="64"/>
    </row>
    <row r="6" spans="1:8" ht="76.5">
      <c r="A6" s="66">
        <v>2.0099999999999998</v>
      </c>
      <c r="B6" s="67" t="s">
        <v>15</v>
      </c>
      <c r="C6" s="56">
        <v>3</v>
      </c>
      <c r="D6" s="60"/>
      <c r="E6" s="57"/>
      <c r="F6" s="99" t="s">
        <v>16</v>
      </c>
      <c r="G6" s="64" t="s">
        <v>17</v>
      </c>
    </row>
    <row r="7" spans="1:8" ht="30.75">
      <c r="A7" s="66">
        <v>2.02</v>
      </c>
      <c r="B7" s="67" t="s">
        <v>18</v>
      </c>
      <c r="C7" s="56">
        <v>3</v>
      </c>
      <c r="D7" s="60"/>
      <c r="E7" s="57"/>
      <c r="F7" s="64" t="s">
        <v>17</v>
      </c>
      <c r="G7" s="64"/>
    </row>
    <row r="8" spans="1:8">
      <c r="A8" s="66">
        <v>2.0299999999999998</v>
      </c>
      <c r="B8" s="67" t="s">
        <v>19</v>
      </c>
      <c r="C8" s="56" t="s">
        <v>20</v>
      </c>
      <c r="D8" s="59">
        <f>IF(C8="y",1,IF(C8="n",0," "))</f>
        <v>1</v>
      </c>
      <c r="E8" s="57"/>
      <c r="F8" s="64" t="s">
        <v>17</v>
      </c>
      <c r="G8" s="99"/>
    </row>
    <row r="9" spans="1:8" ht="126.75" customHeight="1">
      <c r="A9" s="66">
        <v>2.04</v>
      </c>
      <c r="B9" s="67" t="s">
        <v>21</v>
      </c>
      <c r="C9" s="56" t="s">
        <v>20</v>
      </c>
      <c r="D9" s="59">
        <f>IF(C9="y",1,IF(C9="n",0," "))</f>
        <v>1</v>
      </c>
      <c r="E9" s="57"/>
      <c r="F9" s="99" t="s">
        <v>22</v>
      </c>
      <c r="G9" s="99" t="s">
        <v>23</v>
      </c>
    </row>
    <row r="10" spans="1:8" ht="30.75">
      <c r="A10" s="66">
        <v>2.0499999999999998</v>
      </c>
      <c r="B10" s="67" t="s">
        <v>24</v>
      </c>
      <c r="C10" s="56" t="s">
        <v>20</v>
      </c>
      <c r="D10" s="60"/>
      <c r="E10" s="57"/>
      <c r="F10" s="56" t="s">
        <v>25</v>
      </c>
      <c r="G10" s="58" t="s">
        <v>26</v>
      </c>
    </row>
    <row r="11" spans="1:8" ht="60.75">
      <c r="A11" s="66">
        <v>3.01</v>
      </c>
      <c r="B11" s="67" t="s">
        <v>27</v>
      </c>
      <c r="C11" s="56" t="s">
        <v>20</v>
      </c>
      <c r="D11" s="59">
        <f>IF(C11="n",LOOKUP($C$10,LUT!$I$13:$L$13,LUT!$I$14:$L$14),IF(AND(C11="y",AND($C$6=1,$C$7=1)),2,IF(AND(C11="y",AND($C$6=1,$C$7=2)),1,IF(AND(C11="y",AND($C$6=1,$C$7=3)),1,IF(AND(C11="y",AND($C$6=2,$C$7=1)),2,IF(AND(C11="y",AND($C$6=2,$C$7=2)),2,IF(AND(C11="y",AND($C$6=2,$C$7=3)),1,IF(AND(C11="y",AND($C$6=3,$C$7=1)),2,IF(AND(C11="y",AND($C$6=3,$C$7=2)),2,IF(AND(C11="y",AND($C$6=3,$C$7=3)),2,""))))))))))</f>
        <v>2</v>
      </c>
      <c r="E11" s="57"/>
      <c r="F11" s="56" t="s">
        <v>28</v>
      </c>
      <c r="G11" s="56" t="s">
        <v>29</v>
      </c>
    </row>
    <row r="12" spans="1:8">
      <c r="A12" s="66">
        <v>3.02</v>
      </c>
      <c r="B12" s="67" t="s">
        <v>30</v>
      </c>
      <c r="C12" s="56" t="s">
        <v>11</v>
      </c>
      <c r="D12" s="59">
        <f>IF(C12="n",LOOKUP($C$10,LUT!$I$13:$L$13,LUT!$I$15:$L$15),IF(AND(C12="y",AND($C$6=1,$C$7=1)),2,IF(AND(C12="y",AND($C$6=1,$C$7=2)),1,IF(AND(C12="y",AND($C$6=1,$C$7=3)),1,IF(AND(C12="y",AND($C$6=2,$C$7=1)),2,IF(AND(C12="y",AND($C$6=2,$C$7=2)),2,IF(AND(C12="y",AND($C$6=2,$C$7=3)),1,IF(AND(C12="y",AND($C$6=3,$C$7=1)),2,IF(AND(C12="y",AND($C$6=3,$C$7=2)),2,IF(AND(C12="y",AND($C$6=3,$C$7=3)),2,""))))))))))</f>
        <v>0</v>
      </c>
      <c r="E12" s="57"/>
      <c r="F12" s="101" t="s">
        <v>31</v>
      </c>
      <c r="G12" s="56"/>
    </row>
    <row r="13" spans="1:8">
      <c r="A13" s="66">
        <v>3.03</v>
      </c>
      <c r="B13" s="67" t="s">
        <v>32</v>
      </c>
      <c r="C13" s="56" t="s">
        <v>11</v>
      </c>
      <c r="D13" s="59">
        <f>IF(C13="n",LOOKUP($C$10,LUT!$I$13:$L$13,LUT!$I$15:$L$15),IF(AND(C13="y",AND($C$6=1,$C$7=1)),4,IF(AND(C13="y",AND($C$6=1,$C$7=2)),2,IF(AND(C13="y",AND($C$6=1,$C$7=3)),1,IF(AND(C13="y",AND($C$6=2,$C$7=1)),4,IF(AND(C13="y",AND($C$6=2,$C$7=2)),3,IF(AND(C13="y",AND($C$6=2,$C$7=3)),2,IF(AND(C13="y",AND($C$6=3,$C$7=1)),4,IF(AND(C13="y",AND($C$6=3,$C$7=2)),4,IF(AND(C13="y",AND($C$6=3,$C$7=3)),4,""))))))))))</f>
        <v>0</v>
      </c>
      <c r="E13" s="57"/>
      <c r="F13" s="100" t="s">
        <v>12</v>
      </c>
      <c r="G13" s="64"/>
    </row>
    <row r="14" spans="1:8">
      <c r="A14" s="66">
        <v>3.04</v>
      </c>
      <c r="B14" s="67" t="s">
        <v>33</v>
      </c>
      <c r="C14" s="56" t="s">
        <v>11</v>
      </c>
      <c r="D14" s="59">
        <f>IF(C14="n",LOOKUP($C$10,LUT!$I$13:$L$13,LUT!$I$15:$L$15),IF(AND(C14="y",AND($C$6=1,$C$7=1)),4,IF(AND(C14="y",AND($C$6=1,$C$7=2)),2,IF(AND(C14="y",AND($C$6=1,$C$7=3)),1,IF(AND(C14="y",AND($C$6=2,$C$7=1)),4,IF(AND(C14="y",AND($C$6=2,$C$7=2)),3,IF(AND(C14="y",AND($C$6=2,$C$7=3)),2,IF(AND(C14="y",AND($C$6=3,$C$7=1)),4,IF(AND(C14="y",AND($C$6=3,$C$7=2)),4,IF(AND(C14="y",AND($C$6=3,$C$7=3)),4,""))))))))))</f>
        <v>0</v>
      </c>
      <c r="E14" s="57"/>
      <c r="F14" s="64" t="s">
        <v>34</v>
      </c>
      <c r="G14" s="64"/>
    </row>
    <row r="15" spans="1:8" ht="60.75">
      <c r="A15" s="66">
        <v>3.05</v>
      </c>
      <c r="B15" s="67" t="s">
        <v>35</v>
      </c>
      <c r="C15" s="56" t="s">
        <v>20</v>
      </c>
      <c r="D15" s="59">
        <f>IF(C15="n",LOOKUP($C$10,LUT!$I$13:$L$13,LUT!$I$15:$L$15),IF(AND(C15="y",AND($C$6=1,$C$7=1)),2,IF(AND(C15="y",AND($C$6=1,$C$7=2)),1,IF(AND(C15="y",AND($C$6=1,$C$7=3)),1,IF(AND(C15="y",AND($C$6=2,$C$7=1)),2,IF(AND(C15="y",AND($C$6=2,$C$7=2)),2,IF(AND(C15="y",AND($C$6=2,$C$7=3)),1,IF(AND(C15="y",AND($C$6=3,$C$7=1)),2,IF(AND(C15="y",AND($C$6=3,$C$7=2)),2,IF(AND(C15="y",AND($C$6=3,$C$7=3)),2,""))))))))))</f>
        <v>2</v>
      </c>
      <c r="E15" s="57"/>
      <c r="F15" s="64" t="s">
        <v>36</v>
      </c>
      <c r="G15" s="64" t="s">
        <v>37</v>
      </c>
    </row>
    <row r="16" spans="1:8">
      <c r="A16" s="66">
        <v>4.01</v>
      </c>
      <c r="B16" s="67" t="s">
        <v>38</v>
      </c>
      <c r="C16" s="56" t="s">
        <v>11</v>
      </c>
      <c r="D16" s="59">
        <f>IF(C16="y",VLOOKUP(LUT!C17,LUT!$C$4:$E$52,3),IF(C16="n",VLOOKUP(LUT!C17,LUT!$C$4:$E$52,2)," "))</f>
        <v>0</v>
      </c>
      <c r="E16" s="57"/>
      <c r="F16" s="64" t="s">
        <v>12</v>
      </c>
      <c r="G16" s="64"/>
    </row>
    <row r="17" spans="1:7" ht="121.5">
      <c r="A17" s="66">
        <v>4.0199999999999996</v>
      </c>
      <c r="B17" s="67" t="s">
        <v>39</v>
      </c>
      <c r="C17" s="56" t="s">
        <v>40</v>
      </c>
      <c r="D17" s="59" t="str">
        <f>IF(C17="y",VLOOKUP(LUT!C18,LUT!C4:E52,3),IF(C17="n",VLOOKUP(LUT!C18,LUT!C4:E52,2)," "))</f>
        <v xml:space="preserve"> </v>
      </c>
      <c r="E17" s="57"/>
      <c r="F17" s="64" t="s">
        <v>41</v>
      </c>
      <c r="G17" s="64" t="s">
        <v>42</v>
      </c>
    </row>
    <row r="18" spans="1:7">
      <c r="A18" s="66">
        <v>4.03</v>
      </c>
      <c r="B18" s="67" t="s">
        <v>43</v>
      </c>
      <c r="C18" s="56" t="s">
        <v>11</v>
      </c>
      <c r="D18" s="59">
        <f>IF(C18="y",VLOOKUP(LUT!C19,LUT!$C$4:$E$52,3),IF(C18="n",VLOOKUP(LUT!C19,LUT!$C$4:$E$52,2)," "))</f>
        <v>0</v>
      </c>
      <c r="E18" s="57"/>
      <c r="F18" s="64" t="s">
        <v>12</v>
      </c>
      <c r="G18" s="64"/>
    </row>
    <row r="19" spans="1:7" ht="91.5">
      <c r="A19" s="66">
        <v>4.04</v>
      </c>
      <c r="B19" s="67" t="s">
        <v>44</v>
      </c>
      <c r="C19" s="56" t="s">
        <v>11</v>
      </c>
      <c r="D19" s="59">
        <f>IF(C19="y",VLOOKUP(LUT!C20,LUT!$C$4:$E$52,3),IF(C19="n",VLOOKUP(LUT!C20,LUT!$C$4:$E$52,2)," "))</f>
        <v>-1</v>
      </c>
      <c r="E19" s="57"/>
      <c r="F19" s="64" t="s">
        <v>45</v>
      </c>
      <c r="G19" s="64" t="s">
        <v>46</v>
      </c>
    </row>
    <row r="20" spans="1:7" ht="91.5">
      <c r="A20" s="66">
        <v>4.05</v>
      </c>
      <c r="B20" s="67" t="s">
        <v>47</v>
      </c>
      <c r="C20" s="56" t="s">
        <v>11</v>
      </c>
      <c r="D20" s="59">
        <f>IF(C20="y",VLOOKUP(LUT!C21,LUT!$C$4:$E$52,3),IF(C20="n",VLOOKUP(LUT!C21,LUT!$C$4:$E$52,2)," "))</f>
        <v>0</v>
      </c>
      <c r="E20" s="57"/>
      <c r="F20" s="64" t="s">
        <v>45</v>
      </c>
      <c r="G20" s="64" t="s">
        <v>46</v>
      </c>
    </row>
    <row r="21" spans="1:7" ht="91.5">
      <c r="A21" s="66">
        <v>4.0599999999999996</v>
      </c>
      <c r="B21" s="67" t="s">
        <v>48</v>
      </c>
      <c r="C21" s="56" t="s">
        <v>11</v>
      </c>
      <c r="D21" s="59">
        <f>IF(C21="y",VLOOKUP(LUT!C22,LUT!$C$4:$E$52,3),IF(C21="n",VLOOKUP(LUT!C22,LUT!$C$4:$E$52,2)," "))</f>
        <v>0</v>
      </c>
      <c r="E21" s="57"/>
      <c r="F21" s="64" t="s">
        <v>49</v>
      </c>
      <c r="G21" s="64" t="s">
        <v>50</v>
      </c>
    </row>
    <row r="22" spans="1:7" ht="91.5">
      <c r="A22" s="66">
        <v>4.07</v>
      </c>
      <c r="B22" s="67" t="s">
        <v>51</v>
      </c>
      <c r="C22" s="56" t="s">
        <v>11</v>
      </c>
      <c r="D22" s="59">
        <f>IF(C22="y",VLOOKUP(LUT!C23,LUT!$C$4:$E$52,3),IF(C22="n",VLOOKUP(LUT!C23,LUT!$C$4:$E$52,2)," "))</f>
        <v>0</v>
      </c>
      <c r="E22" s="57"/>
      <c r="F22" s="64" t="s">
        <v>45</v>
      </c>
      <c r="G22" s="64" t="s">
        <v>46</v>
      </c>
    </row>
    <row r="23" spans="1:7">
      <c r="A23" s="66">
        <v>4.08</v>
      </c>
      <c r="B23" s="67" t="s">
        <v>52</v>
      </c>
      <c r="C23" s="56" t="s">
        <v>11</v>
      </c>
      <c r="D23" s="59">
        <f>IF(C23="y",VLOOKUP(LUT!C24,LUT!$C$4:$E$52,3),IF(C23="n",VLOOKUP(LUT!C24,LUT!$C$4:$E$52,2)," "))</f>
        <v>0</v>
      </c>
      <c r="E23" s="57"/>
      <c r="F23" s="64" t="s">
        <v>12</v>
      </c>
      <c r="G23" s="64"/>
    </row>
    <row r="24" spans="1:7" ht="106.5">
      <c r="A24" s="66">
        <v>4.09</v>
      </c>
      <c r="B24" s="67" t="s">
        <v>53</v>
      </c>
      <c r="C24" s="56" t="s">
        <v>20</v>
      </c>
      <c r="D24" s="59">
        <f>IF(C24="y",VLOOKUP(LUT!C25,LUT!$C$4:$E$52,3),IF(C24="n",VLOOKUP(LUT!C25,LUT!$C$4:$E$52,2)," "))</f>
        <v>1</v>
      </c>
      <c r="E24" s="57"/>
      <c r="F24" s="64" t="s">
        <v>54</v>
      </c>
      <c r="G24" s="64" t="s">
        <v>55</v>
      </c>
    </row>
    <row r="25" spans="1:7" ht="91.5">
      <c r="A25" s="66">
        <v>4.0999999999999996</v>
      </c>
      <c r="B25" s="68" t="s">
        <v>56</v>
      </c>
      <c r="C25" s="56" t="s">
        <v>11</v>
      </c>
      <c r="D25" s="59">
        <f>IF(C25="y",VLOOKUP(LUT!C26,LUT!$C$4:$E$52,3),IF(C25="n",VLOOKUP(LUT!C26,LUT!$C$4:$E$52,2)," "))</f>
        <v>0</v>
      </c>
      <c r="E25" s="57"/>
      <c r="F25" s="64" t="s">
        <v>57</v>
      </c>
      <c r="G25" s="64" t="s">
        <v>58</v>
      </c>
    </row>
    <row r="26" spans="1:7" ht="91.5">
      <c r="A26" s="66">
        <v>4.1100000000000003</v>
      </c>
      <c r="B26" s="67" t="s">
        <v>59</v>
      </c>
      <c r="C26" s="56" t="s">
        <v>11</v>
      </c>
      <c r="D26" s="59">
        <f>IF(C26="y",VLOOKUP(LUT!C27,LUT!$C$4:$E$52,3),IF(C26="n",VLOOKUP(LUT!C27,LUT!$C$4:$E$52,2)," "))</f>
        <v>0</v>
      </c>
      <c r="E26" s="57"/>
      <c r="F26" s="64" t="s">
        <v>60</v>
      </c>
      <c r="G26" s="64" t="s">
        <v>61</v>
      </c>
    </row>
    <row r="27" spans="1:7" ht="137.25">
      <c r="A27" s="66">
        <v>4.12</v>
      </c>
      <c r="B27" s="67" t="s">
        <v>62</v>
      </c>
      <c r="C27" s="56" t="s">
        <v>40</v>
      </c>
      <c r="D27" s="59" t="str">
        <f>IF(C27="y",VLOOKUP(LUT!C28,LUT!$C$4:$E$52,3),IF(C27="n",VLOOKUP(LUT!C28,LUT!$C$4:$E$52,2)," "))</f>
        <v xml:space="preserve"> </v>
      </c>
      <c r="E27" s="57"/>
      <c r="F27" s="64" t="s">
        <v>63</v>
      </c>
      <c r="G27" s="64" t="s">
        <v>64</v>
      </c>
    </row>
    <row r="28" spans="1:7">
      <c r="A28" s="66">
        <v>5.01</v>
      </c>
      <c r="B28" s="67" t="s">
        <v>65</v>
      </c>
      <c r="C28" s="56" t="s">
        <v>11</v>
      </c>
      <c r="D28" s="59">
        <f>IF(C28="y",VLOOKUP(LUT!C29,LUT!$C$4:$E$52,3),IF(C28="n",VLOOKUP(LUT!C29,LUT!$C$4:$E$52,2)," "))</f>
        <v>0</v>
      </c>
      <c r="E28" s="57"/>
      <c r="F28" s="64" t="s">
        <v>66</v>
      </c>
      <c r="G28" s="64"/>
    </row>
    <row r="29" spans="1:7">
      <c r="A29" s="66">
        <v>5.0199999999999996</v>
      </c>
      <c r="B29" s="67" t="s">
        <v>67</v>
      </c>
      <c r="C29" s="56" t="s">
        <v>11</v>
      </c>
      <c r="D29" s="59">
        <f>IF(C29="y",VLOOKUP(LUT!C30,LUT!$C$4:$E$52,3),IF(C29="n",VLOOKUP(LUT!C30,LUT!$C$4:$E$52,2)," "))</f>
        <v>0</v>
      </c>
      <c r="E29" s="57"/>
      <c r="F29" s="64" t="s">
        <v>68</v>
      </c>
      <c r="G29" s="64"/>
    </row>
    <row r="30" spans="1:7">
      <c r="A30" s="66">
        <v>5.03</v>
      </c>
      <c r="B30" s="67" t="s">
        <v>69</v>
      </c>
      <c r="C30" s="56" t="s">
        <v>11</v>
      </c>
      <c r="D30" s="59">
        <f>IF(C30="y",VLOOKUP(LUT!C31,LUT!$C$4:$E$52,3),IF(C30="n",VLOOKUP(LUT!C31,LUT!$C$4:$E$52,2)," "))</f>
        <v>0</v>
      </c>
      <c r="E30" s="57"/>
      <c r="F30" s="64" t="s">
        <v>12</v>
      </c>
      <c r="G30" s="64"/>
    </row>
    <row r="31" spans="1:7">
      <c r="A31" s="66">
        <v>5.04</v>
      </c>
      <c r="B31" s="67" t="s">
        <v>70</v>
      </c>
      <c r="C31" s="56" t="s">
        <v>11</v>
      </c>
      <c r="D31" s="59">
        <f>IF(C31="y",VLOOKUP(LUT!C32,LUT!$C$4:$E$52,3),IF(C31="n",VLOOKUP(LUT!C32,LUT!$C$4:$E$52,2)," "))</f>
        <v>0</v>
      </c>
      <c r="E31" s="57"/>
      <c r="F31" s="64" t="s">
        <v>12</v>
      </c>
      <c r="G31" s="64"/>
    </row>
    <row r="32" spans="1:7" ht="137.25">
      <c r="A32" s="66">
        <v>6.01</v>
      </c>
      <c r="B32" s="67" t="s">
        <v>71</v>
      </c>
      <c r="C32" s="56" t="s">
        <v>40</v>
      </c>
      <c r="D32" s="59" t="str">
        <f>IF(C32="y",VLOOKUP(LUT!C33,LUT!$C$4:$E$52,3),IF(C32="n",VLOOKUP(LUT!C33,LUT!$C$4:$E$52,2)," "))</f>
        <v xml:space="preserve"> </v>
      </c>
      <c r="E32" s="57"/>
      <c r="F32" s="64" t="s">
        <v>72</v>
      </c>
      <c r="G32" s="64" t="s">
        <v>73</v>
      </c>
    </row>
    <row r="33" spans="1:7" ht="76.5">
      <c r="A33" s="66">
        <v>6.02</v>
      </c>
      <c r="B33" s="67" t="s">
        <v>74</v>
      </c>
      <c r="C33" s="56" t="s">
        <v>20</v>
      </c>
      <c r="D33" s="59">
        <f>IF(C33="y",VLOOKUP(LUT!C34,LUT!$C$4:$E$52,3),IF(C33="n",VLOOKUP(LUT!C34,LUT!$C$4:$E$52,2)," "))</f>
        <v>1</v>
      </c>
      <c r="E33" s="57"/>
      <c r="F33" s="64" t="s">
        <v>75</v>
      </c>
      <c r="G33" s="64" t="s">
        <v>76</v>
      </c>
    </row>
    <row r="34" spans="1:7" ht="198">
      <c r="A34" s="66">
        <v>6.03</v>
      </c>
      <c r="B34" s="67" t="s">
        <v>77</v>
      </c>
      <c r="C34" s="56" t="s">
        <v>40</v>
      </c>
      <c r="D34" s="59" t="str">
        <f>IF(C34="y",VLOOKUP(LUT!C35,LUT!$C$4:$E$52,3),IF(C34="n",VLOOKUP(LUT!C35,LUT!$C$4:$E$52,2)," "))</f>
        <v xml:space="preserve"> </v>
      </c>
      <c r="E34" s="57"/>
      <c r="F34" s="64" t="s">
        <v>78</v>
      </c>
      <c r="G34" s="64" t="s">
        <v>79</v>
      </c>
    </row>
    <row r="35" spans="1:7">
      <c r="A35" s="66">
        <v>6.04</v>
      </c>
      <c r="B35" s="67" t="s">
        <v>80</v>
      </c>
      <c r="C35" s="56" t="s">
        <v>40</v>
      </c>
      <c r="D35" s="59" t="str">
        <f>IF(C35="y",VLOOKUP(LUT!C36,LUT!$C$4:$E$52,3),IF(C35="n",VLOOKUP(LUT!C36,LUT!$C$4:$E$52,2)," "))</f>
        <v xml:space="preserve"> </v>
      </c>
      <c r="E35" s="57"/>
      <c r="F35" s="64" t="s">
        <v>81</v>
      </c>
      <c r="G35" s="64" t="s">
        <v>82</v>
      </c>
    </row>
    <row r="36" spans="1:7" ht="121.5">
      <c r="A36" s="66">
        <v>6.05</v>
      </c>
      <c r="B36" s="67" t="s">
        <v>83</v>
      </c>
      <c r="C36" s="56" t="s">
        <v>11</v>
      </c>
      <c r="D36" s="59">
        <f>IF(C36="y",VLOOKUP(LUT!C37,LUT!$C$4:$E$52,3),IF(C36="n",VLOOKUP(LUT!C37,LUT!$C$4:$E$52,2)," "))</f>
        <v>0</v>
      </c>
      <c r="E36" s="57"/>
      <c r="F36" s="64" t="s">
        <v>84</v>
      </c>
      <c r="G36" s="64" t="s">
        <v>85</v>
      </c>
    </row>
    <row r="37" spans="1:7" ht="76.5">
      <c r="A37" s="66">
        <v>6.06</v>
      </c>
      <c r="B37" s="67" t="s">
        <v>86</v>
      </c>
      <c r="C37" s="56" t="s">
        <v>20</v>
      </c>
      <c r="D37" s="59">
        <f>IF(C37="y",VLOOKUP(LUT!C38,LUT!$C$4:$E$52,3),IF(C37="n",VLOOKUP(LUT!C38,LUT!$C$4:$E$52,2)," "))</f>
        <v>1</v>
      </c>
      <c r="E37" s="57"/>
      <c r="F37" s="64" t="s">
        <v>87</v>
      </c>
      <c r="G37" s="64" t="s">
        <v>88</v>
      </c>
    </row>
    <row r="38" spans="1:7" ht="60.75">
      <c r="A38" s="66">
        <v>6.07</v>
      </c>
      <c r="B38" s="67" t="s">
        <v>89</v>
      </c>
      <c r="C38" s="84" t="s">
        <v>90</v>
      </c>
      <c r="D38" s="59">
        <f>IF(C38="1 or fewer",1,IF(C38="2 or 3",0,IF(C38&gt;="4 or more",-1," ")))</f>
        <v>1</v>
      </c>
      <c r="E38" s="57"/>
      <c r="F38" s="64" t="s">
        <v>91</v>
      </c>
      <c r="G38" s="64" t="s">
        <v>92</v>
      </c>
    </row>
    <row r="39" spans="1:7" ht="60.75">
      <c r="A39" s="66">
        <v>7.01</v>
      </c>
      <c r="B39" s="67" t="s">
        <v>93</v>
      </c>
      <c r="C39" s="56" t="s">
        <v>40</v>
      </c>
      <c r="D39" s="59" t="str">
        <f>IF(C39="y",VLOOKUP(LUT!C40,LUT!$C$4:$E$52,3),IF(C39="n",VLOOKUP(LUT!C40,LUT!$C$4:$E$52,2)," "))</f>
        <v xml:space="preserve"> </v>
      </c>
      <c r="E39" s="57"/>
      <c r="F39" s="101" t="s">
        <v>94</v>
      </c>
      <c r="G39" s="56" t="s">
        <v>95</v>
      </c>
    </row>
    <row r="40" spans="1:7" ht="121.5">
      <c r="A40" s="66">
        <v>7.02</v>
      </c>
      <c r="B40" s="67" t="s">
        <v>96</v>
      </c>
      <c r="C40" s="56" t="s">
        <v>20</v>
      </c>
      <c r="D40" s="59">
        <f>IF(C40="y",VLOOKUP(LUT!C41,LUT!$C$4:$E$52,3),IF(C40="n",VLOOKUP(LUT!C41,LUT!$C$4:$E$52,2)," "))</f>
        <v>1</v>
      </c>
      <c r="E40" s="57"/>
      <c r="F40" s="64" t="s">
        <v>97</v>
      </c>
      <c r="G40" s="64" t="s">
        <v>98</v>
      </c>
    </row>
    <row r="41" spans="1:7" ht="30.75">
      <c r="A41" s="66">
        <v>7.03</v>
      </c>
      <c r="B41" s="67" t="s">
        <v>99</v>
      </c>
      <c r="C41" s="56" t="s">
        <v>11</v>
      </c>
      <c r="D41" s="59">
        <f>IF(C41="y",VLOOKUP(LUT!C42,LUT!$C$4:$E$52,3),IF(C41="n",VLOOKUP(LUT!C42,LUT!$C$4:$E$52,2)," "))</f>
        <v>-1</v>
      </c>
      <c r="E41" s="57"/>
      <c r="F41" s="64" t="s">
        <v>12</v>
      </c>
      <c r="G41" s="64"/>
    </row>
    <row r="42" spans="1:7">
      <c r="A42" s="66">
        <v>7.04</v>
      </c>
      <c r="B42" s="67" t="s">
        <v>100</v>
      </c>
      <c r="C42" s="56" t="s">
        <v>11</v>
      </c>
      <c r="D42" s="59">
        <f>IF(C42="y",VLOOKUP(LUT!C43,LUT!$C$4:$E$52,3),IF(C42="n",VLOOKUP(LUT!C43,LUT!$C$4:$E$52,2)," "))</f>
        <v>-1</v>
      </c>
      <c r="E42" s="57"/>
      <c r="F42" s="64" t="s">
        <v>12</v>
      </c>
      <c r="G42" s="64"/>
    </row>
    <row r="43" spans="1:7">
      <c r="A43" s="66">
        <v>7.05</v>
      </c>
      <c r="B43" s="67" t="s">
        <v>101</v>
      </c>
      <c r="C43" s="56" t="s">
        <v>11</v>
      </c>
      <c r="D43" s="59">
        <f>IF(C43="y",VLOOKUP(LUT!C44,LUT!$C$4:$E$52,3),IF(C43="n",VLOOKUP(LUT!C44,LUT!$C$4:$E$52,2)," "))</f>
        <v>-1</v>
      </c>
      <c r="E43" s="57"/>
      <c r="F43" s="64" t="s">
        <v>12</v>
      </c>
      <c r="G43" s="64"/>
    </row>
    <row r="44" spans="1:7">
      <c r="A44" s="66">
        <v>7.06</v>
      </c>
      <c r="B44" s="67" t="s">
        <v>102</v>
      </c>
      <c r="C44" s="56" t="s">
        <v>11</v>
      </c>
      <c r="D44" s="59">
        <f>IF(C44="y",VLOOKUP(LUT!C45,LUT!$C$4:$E$52,3),IF(C44="n",VLOOKUP(LUT!C45,LUT!$C$4:$E$52,2)," "))</f>
        <v>-1</v>
      </c>
      <c r="E44" s="57"/>
      <c r="F44" s="64" t="s">
        <v>12</v>
      </c>
      <c r="G44" s="64"/>
    </row>
    <row r="45" spans="1:7">
      <c r="A45" s="66">
        <v>7.07</v>
      </c>
      <c r="B45" s="67" t="s">
        <v>103</v>
      </c>
      <c r="C45" s="56" t="s">
        <v>11</v>
      </c>
      <c r="D45" s="59">
        <f>IF(C45="y",VLOOKUP(LUT!C46,LUT!$C$4:$E$52,3),IF(C45="n",VLOOKUP(LUT!C46,LUT!$C$4:$E$52,2)," "))</f>
        <v>-1</v>
      </c>
      <c r="E45" s="57"/>
      <c r="F45" s="64" t="s">
        <v>12</v>
      </c>
      <c r="G45" s="64"/>
    </row>
    <row r="46" spans="1:7">
      <c r="A46" s="66">
        <v>7.08</v>
      </c>
      <c r="B46" s="67" t="s">
        <v>104</v>
      </c>
      <c r="C46" s="56" t="s">
        <v>11</v>
      </c>
      <c r="D46" s="59">
        <f>IF(C46="y",VLOOKUP(LUT!C47,LUT!$C$4:$E$52,3),IF(C46="n",VLOOKUP(LUT!C47,LUT!$C$4:$E$52,2)," "))</f>
        <v>-1</v>
      </c>
      <c r="E46" s="57"/>
      <c r="F46" s="64" t="s">
        <v>12</v>
      </c>
      <c r="G46" s="64"/>
    </row>
    <row r="47" spans="1:7">
      <c r="A47" s="66">
        <v>8.01</v>
      </c>
      <c r="B47" s="67" t="s">
        <v>105</v>
      </c>
      <c r="C47" s="56" t="s">
        <v>40</v>
      </c>
      <c r="D47" s="59" t="str">
        <f>IF(C47="y",VLOOKUP(LUT!C48,LUT!$C$4:$E$52,3),IF(C47="n",VLOOKUP(LUT!C48,LUT!$C$4:$E$52,2)," "))</f>
        <v xml:space="preserve"> </v>
      </c>
      <c r="E47" s="57"/>
      <c r="F47" s="64" t="s">
        <v>106</v>
      </c>
      <c r="G47" s="64"/>
    </row>
    <row r="48" spans="1:7" ht="30.75">
      <c r="A48" s="66">
        <v>8.02</v>
      </c>
      <c r="B48" s="67" t="s">
        <v>107</v>
      </c>
      <c r="C48" s="56" t="s">
        <v>11</v>
      </c>
      <c r="D48" s="59">
        <f>IF(C48="y",VLOOKUP(LUT!C49,LUT!$C$4:$E$52,3),IF(C48="n",VLOOKUP(LUT!C49,LUT!$C$4:$E$52,2)," "))</f>
        <v>-1</v>
      </c>
      <c r="E48" s="57"/>
      <c r="F48" s="64" t="s">
        <v>12</v>
      </c>
      <c r="G48" s="64"/>
    </row>
    <row r="49" spans="1:7">
      <c r="A49" s="66">
        <v>8.0299999999999994</v>
      </c>
      <c r="B49" s="67" t="s">
        <v>108</v>
      </c>
      <c r="C49" s="56" t="s">
        <v>40</v>
      </c>
      <c r="D49" s="59" t="str">
        <f>IF(C49="y",VLOOKUP(LUT!C50,LUT!$C$4:$E$52,3),IF(C49="n",VLOOKUP(LUT!C50,LUT!$C$4:$E$52,2)," "))</f>
        <v xml:space="preserve"> </v>
      </c>
      <c r="E49" s="57"/>
      <c r="F49" s="64" t="s">
        <v>109</v>
      </c>
      <c r="G49" s="64"/>
    </row>
    <row r="50" spans="1:7" ht="76.5">
      <c r="A50" s="66">
        <v>8.0399999999999991</v>
      </c>
      <c r="B50" s="67" t="s">
        <v>110</v>
      </c>
      <c r="C50" s="56" t="s">
        <v>20</v>
      </c>
      <c r="D50" s="59">
        <f>IF(C50="y",VLOOKUP(LUT!C51,LUT!$C$4:$E$52,3),IF(C50="n",VLOOKUP(LUT!C51,LUT!$C$4:$E$52,2)," "))</f>
        <v>1</v>
      </c>
      <c r="E50" s="57"/>
      <c r="F50" s="64" t="s">
        <v>111</v>
      </c>
      <c r="G50" s="64" t="s">
        <v>88</v>
      </c>
    </row>
    <row r="51" spans="1:7">
      <c r="A51" s="66">
        <v>8.0500000000000007</v>
      </c>
      <c r="B51" s="67" t="s">
        <v>112</v>
      </c>
      <c r="C51" s="56" t="s">
        <v>11</v>
      </c>
      <c r="D51" s="59">
        <f>IF(C51="y",VLOOKUP(LUT!C52,LUT!$C$4:$E$52,3),IF(C51="n",VLOOKUP(LUT!C52,LUT!$C$4:$E$52,2)," "))</f>
        <v>1</v>
      </c>
      <c r="E51" s="57"/>
      <c r="F51" s="64" t="s">
        <v>12</v>
      </c>
      <c r="G51" s="64"/>
    </row>
    <row r="52" spans="1:7" ht="15.95" thickBot="1">
      <c r="A52" s="87"/>
      <c r="B52" s="86"/>
      <c r="C52" s="56"/>
      <c r="D52" s="56"/>
      <c r="E52" s="57"/>
      <c r="F52" s="56"/>
      <c r="G52" s="56"/>
    </row>
    <row r="53" spans="1:7" ht="29.25" customHeight="1" thickTop="1">
      <c r="A53" s="56"/>
      <c r="B53" s="56"/>
      <c r="C53" s="69" t="s">
        <v>113</v>
      </c>
      <c r="D53" s="61">
        <f>SUM(D3:D51)</f>
        <v>5</v>
      </c>
      <c r="E53" s="62"/>
      <c r="F53" s="56"/>
      <c r="G53" s="56"/>
    </row>
    <row r="54" spans="1:7" ht="33" customHeight="1" thickBot="1">
      <c r="A54" s="56"/>
      <c r="B54" s="56"/>
      <c r="C54" s="70" t="s">
        <v>114</v>
      </c>
      <c r="D54" s="21" t="str">
        <f>IF(E60="no","more info needed",IF(D53&lt;1,"accept",IF(D53&gt;6,"reject","evaluate further")))</f>
        <v>evaluate further</v>
      </c>
      <c r="E54" s="62"/>
      <c r="F54" s="56"/>
      <c r="G54" s="56"/>
    </row>
    <row r="55" spans="1:7" ht="17.100000000000001" thickTop="1" thickBot="1">
      <c r="A55" s="56"/>
      <c r="B55" s="56"/>
      <c r="C55" s="56"/>
      <c r="D55" s="56"/>
      <c r="E55" s="57"/>
      <c r="F55" s="56"/>
      <c r="G55" s="56"/>
    </row>
    <row r="56" spans="1:7" ht="33.950000000000003" thickTop="1" thickBot="1">
      <c r="A56" s="56"/>
      <c r="B56" s="22" t="s">
        <v>115</v>
      </c>
      <c r="C56" s="23" t="s">
        <v>116</v>
      </c>
      <c r="D56" s="19" t="s">
        <v>117</v>
      </c>
      <c r="E56" s="62"/>
      <c r="F56" s="63"/>
      <c r="G56" s="56"/>
    </row>
    <row r="57" spans="1:7" ht="17.100000000000001" thickTop="1">
      <c r="A57" s="56"/>
      <c r="B57" s="28" t="s">
        <v>118</v>
      </c>
      <c r="C57" s="24">
        <f>COUNTIF(C3:C15, "y")+COUNTIF(C3:C15, "n")+COUNTIF(C6:C7, "1")+COUNTIF(C6:C7, "2")+COUNTIF(C6:C7, "3")</f>
        <v>11</v>
      </c>
      <c r="D57" s="20" t="str">
        <f>IF(C57&gt;=2,"yes","no")</f>
        <v>yes</v>
      </c>
      <c r="E57" s="62"/>
      <c r="F57" s="56"/>
      <c r="G57" s="56"/>
    </row>
    <row r="58" spans="1:7" ht="15.95">
      <c r="A58" s="56"/>
      <c r="B58" s="29" t="s">
        <v>119</v>
      </c>
      <c r="C58" s="24">
        <f>COUNTIF(C16:C27,"y")+COUNTIF(C16:C27,"n")</f>
        <v>10</v>
      </c>
      <c r="D58" s="20" t="str">
        <f>IF(C58&gt;=2,"yes","no")</f>
        <v>yes</v>
      </c>
      <c r="E58" s="62"/>
      <c r="F58" s="56"/>
      <c r="G58" s="56"/>
    </row>
    <row r="59" spans="1:7" ht="15.95">
      <c r="A59" s="56"/>
      <c r="B59" s="28" t="s">
        <v>120</v>
      </c>
      <c r="C59" s="24">
        <f>COUNTIF(C28:C51,"y")+COUNTIF(C28:C51, "n")+COUNT(C28:C51)</f>
        <v>17</v>
      </c>
      <c r="D59" s="20" t="str">
        <f>IF(C59&gt;=6,"yes","no")</f>
        <v>yes</v>
      </c>
      <c r="E59" s="62"/>
      <c r="F59" s="56"/>
      <c r="G59" s="56"/>
    </row>
    <row r="60" spans="1:7" ht="17.100000000000001" thickBot="1">
      <c r="A60" s="56"/>
      <c r="B60" s="25" t="s">
        <v>121</v>
      </c>
      <c r="C60" s="26">
        <f>SUM(C57:C59)</f>
        <v>38</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8" t="s">
        <v>122</v>
      </c>
      <c r="C63" s="108"/>
      <c r="D63" s="108"/>
      <c r="E63" s="62"/>
      <c r="F63" s="56"/>
      <c r="G63" s="56"/>
    </row>
    <row r="64" spans="1:7" ht="15.95" thickBot="1">
      <c r="A64" s="56"/>
      <c r="B64" s="109" t="s">
        <v>123</v>
      </c>
      <c r="C64" s="110"/>
      <c r="D64" s="111"/>
      <c r="E64" s="62"/>
      <c r="F64" s="56"/>
      <c r="G64" s="56"/>
    </row>
    <row r="65" spans="1:7">
      <c r="A65" s="56">
        <v>9.01</v>
      </c>
      <c r="B65" s="71" t="s">
        <v>124</v>
      </c>
      <c r="C65" s="112" t="s">
        <v>125</v>
      </c>
      <c r="D65" s="113"/>
      <c r="E65" s="62"/>
      <c r="F65" s="56"/>
      <c r="G65" s="56"/>
    </row>
    <row r="66" spans="1:7">
      <c r="A66" s="56">
        <v>9.02</v>
      </c>
      <c r="B66" s="71" t="s">
        <v>126</v>
      </c>
      <c r="C66" s="114" t="s">
        <v>127</v>
      </c>
      <c r="D66" s="115"/>
      <c r="E66" s="62"/>
      <c r="F66" s="56"/>
      <c r="G66" s="56"/>
    </row>
    <row r="67" spans="1:7">
      <c r="A67" s="56">
        <v>9.0299999999999994</v>
      </c>
      <c r="B67" s="71" t="s">
        <v>128</v>
      </c>
      <c r="C67" s="106" t="s">
        <v>125</v>
      </c>
      <c r="D67" s="107"/>
      <c r="E67" s="62"/>
      <c r="F67" s="56"/>
      <c r="G67" s="56"/>
    </row>
    <row r="68" spans="1:7">
      <c r="A68" s="56">
        <v>9.0399999999999991</v>
      </c>
      <c r="B68" s="71" t="s">
        <v>129</v>
      </c>
      <c r="C68" s="106" t="s">
        <v>127</v>
      </c>
      <c r="D68" s="107"/>
      <c r="E68" s="62"/>
      <c r="F68" s="56"/>
      <c r="G68" s="56"/>
    </row>
    <row r="69" spans="1:7">
      <c r="A69" s="56">
        <v>9.0500000000000007</v>
      </c>
      <c r="B69" s="71" t="s">
        <v>130</v>
      </c>
      <c r="C69" s="106" t="s">
        <v>127</v>
      </c>
      <c r="D69" s="107"/>
      <c r="E69" s="62"/>
      <c r="F69" s="56"/>
      <c r="G69" s="56"/>
    </row>
    <row r="70" spans="1:7">
      <c r="A70" s="56">
        <v>9.06</v>
      </c>
      <c r="B70" s="71" t="s">
        <v>131</v>
      </c>
      <c r="C70" s="106" t="s">
        <v>40</v>
      </c>
      <c r="D70" s="107"/>
      <c r="E70" s="62"/>
      <c r="F70" s="56"/>
      <c r="G70" s="56"/>
    </row>
    <row r="71" spans="1:7">
      <c r="A71" s="56">
        <v>9.07</v>
      </c>
      <c r="B71" s="71" t="s">
        <v>132</v>
      </c>
      <c r="C71" s="94" t="s">
        <v>125</v>
      </c>
      <c r="D71" s="97" t="str">
        <f>IF(C71="yes", IF(OR(C65="?", C66="?", C67="no", C67="?"), "eval.", IF(AND(C65="yes", C66="yes", C67="yes"), "reject", IF(OR(C65="no", C66="no"), "accept", " ")))," ")</f>
        <v>accept</v>
      </c>
      <c r="E71" s="62"/>
      <c r="F71" s="56"/>
      <c r="G71" s="56"/>
    </row>
    <row r="72" spans="1:7">
      <c r="A72" s="56">
        <v>9.08</v>
      </c>
      <c r="B72" s="71" t="s">
        <v>133</v>
      </c>
      <c r="C72" s="92"/>
      <c r="D72" s="89" t="str">
        <f>IF(C71="yes","STOP",IF(C72="yes",IF(C68="no","accept",IF(AND(C68="yes",OR(C69="yes",C70="yes")),"reject",IF(OR(C68="?",C69="?",C70="?",C69="no",C70="no"),"eval.",""))), ""))</f>
        <v>STOP</v>
      </c>
      <c r="E72" s="62"/>
      <c r="F72" s="56"/>
      <c r="G72" s="56"/>
    </row>
    <row r="73" spans="1:7" ht="15.95" thickBot="1">
      <c r="A73" s="56">
        <v>9.09</v>
      </c>
      <c r="B73" s="91" t="s">
        <v>134</v>
      </c>
      <c r="C73" s="93"/>
      <c r="D73" s="90" t="str">
        <f>IF(OR(C71="yes",C72="yes"),"STOP",IF(C73="yes",IF(AND(LUT!I26="accept",LUT!I27="accept"),"accept",IF(AND(LUT!I26="eval.",LUT!I27="eval."),"eval.",IF(OR(LUT!I26="reject",LUT!I27="reject"),"reject",""))),""))</f>
        <v>STOP</v>
      </c>
      <c r="E73" s="62"/>
      <c r="F73" s="56"/>
      <c r="G73" s="56"/>
    </row>
    <row r="74" spans="1:7" ht="15.95" thickBot="1">
      <c r="A74" s="56"/>
      <c r="B74" s="72" t="s">
        <v>135</v>
      </c>
      <c r="C74" s="104" t="str">
        <f>IF(OR(D71="accept", D72="accept", D73="accept"), "Accept", IF(OR(D71="eval.", D72="eval.", D73="eval."), "Evaluate Further", IF(OR(D71="reject", D72="reject",D73="reject"), "Reject", "")))</f>
        <v>Accept</v>
      </c>
      <c r="D74" s="105"/>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136</v>
      </c>
      <c r="H2" s="134" t="s">
        <v>137</v>
      </c>
      <c r="I2" s="135"/>
      <c r="J2" s="135"/>
      <c r="K2" s="135"/>
      <c r="L2" s="135"/>
      <c r="M2" s="135"/>
      <c r="N2" s="135"/>
      <c r="O2" s="135"/>
      <c r="P2" s="135"/>
      <c r="Q2" s="135"/>
      <c r="R2" s="136"/>
    </row>
    <row r="3" spans="2:18">
      <c r="B3" s="1" t="s">
        <v>115</v>
      </c>
      <c r="C3" s="2" t="s">
        <v>4</v>
      </c>
      <c r="D3" s="2" t="s">
        <v>138</v>
      </c>
      <c r="E3" s="3" t="s">
        <v>139</v>
      </c>
      <c r="H3" s="148" t="s">
        <v>140</v>
      </c>
      <c r="I3" s="149"/>
      <c r="J3" s="149"/>
      <c r="K3" s="149"/>
      <c r="L3" s="149"/>
      <c r="M3" s="149"/>
      <c r="N3" s="149"/>
      <c r="O3" s="149"/>
      <c r="P3" s="149"/>
      <c r="Q3" s="149"/>
      <c r="R3" s="150"/>
    </row>
    <row r="4" spans="2:18">
      <c r="B4" s="4" t="s">
        <v>141</v>
      </c>
      <c r="C4">
        <v>1.01</v>
      </c>
      <c r="D4">
        <v>0</v>
      </c>
      <c r="E4" s="5">
        <v>-3</v>
      </c>
      <c r="H4" s="128" t="s">
        <v>142</v>
      </c>
      <c r="I4" s="129"/>
      <c r="J4" s="129"/>
      <c r="K4" s="129"/>
      <c r="L4" s="129"/>
      <c r="M4" s="129"/>
      <c r="N4" s="129"/>
      <c r="O4" s="129"/>
      <c r="P4" s="129"/>
      <c r="Q4" s="129"/>
      <c r="R4" s="16" t="s">
        <v>143</v>
      </c>
    </row>
    <row r="5" spans="2:18">
      <c r="B5" s="4" t="s">
        <v>120</v>
      </c>
      <c r="C5">
        <v>1.02</v>
      </c>
      <c r="D5">
        <v>-1</v>
      </c>
      <c r="E5" s="5">
        <v>1</v>
      </c>
      <c r="H5" s="128" t="s">
        <v>144</v>
      </c>
      <c r="I5" s="10">
        <v>2.0099999999999998</v>
      </c>
      <c r="J5" s="10">
        <v>1</v>
      </c>
      <c r="K5" s="10">
        <v>1</v>
      </c>
      <c r="L5" s="10">
        <v>1</v>
      </c>
      <c r="M5" s="10">
        <v>2</v>
      </c>
      <c r="N5" s="10">
        <v>2</v>
      </c>
      <c r="O5" s="10">
        <v>2</v>
      </c>
      <c r="P5" s="10">
        <v>3</v>
      </c>
      <c r="Q5" s="10">
        <v>3</v>
      </c>
      <c r="R5" s="11">
        <v>3</v>
      </c>
    </row>
    <row r="6" spans="2:18">
      <c r="B6" s="4" t="s">
        <v>120</v>
      </c>
      <c r="C6">
        <v>1.03</v>
      </c>
      <c r="D6">
        <v>-1</v>
      </c>
      <c r="E6" s="5">
        <v>1</v>
      </c>
      <c r="H6" s="128"/>
      <c r="I6" s="10">
        <v>2.02</v>
      </c>
      <c r="J6" s="10">
        <v>1</v>
      </c>
      <c r="K6" s="10">
        <v>2</v>
      </c>
      <c r="L6" s="10">
        <v>3</v>
      </c>
      <c r="M6" s="10">
        <v>1</v>
      </c>
      <c r="N6" s="10">
        <v>2</v>
      </c>
      <c r="O6" s="10">
        <v>3</v>
      </c>
      <c r="P6" s="10">
        <v>1</v>
      </c>
      <c r="Q6" s="10">
        <v>2</v>
      </c>
      <c r="R6" s="11">
        <v>3</v>
      </c>
    </row>
    <row r="7" spans="2:18">
      <c r="B7" s="4"/>
      <c r="C7">
        <v>2.0099999999999998</v>
      </c>
      <c r="D7" s="116" t="s">
        <v>145</v>
      </c>
      <c r="E7" s="117"/>
      <c r="H7" s="130" t="s">
        <v>146</v>
      </c>
      <c r="I7" s="10">
        <v>3.01</v>
      </c>
      <c r="J7" s="10">
        <v>2</v>
      </c>
      <c r="K7" s="10">
        <v>1</v>
      </c>
      <c r="L7" s="10">
        <v>1</v>
      </c>
      <c r="M7" s="10">
        <v>2</v>
      </c>
      <c r="N7" s="10">
        <v>2</v>
      </c>
      <c r="O7" s="10">
        <v>1</v>
      </c>
      <c r="P7" s="10">
        <v>2</v>
      </c>
      <c r="Q7" s="10">
        <v>2</v>
      </c>
      <c r="R7" s="11">
        <v>2</v>
      </c>
    </row>
    <row r="8" spans="2:18">
      <c r="B8" s="4"/>
      <c r="C8">
        <v>2.02</v>
      </c>
      <c r="D8" s="118"/>
      <c r="E8" s="119"/>
      <c r="H8" s="130"/>
      <c r="I8" s="10">
        <v>3.02</v>
      </c>
      <c r="J8" s="10">
        <v>2</v>
      </c>
      <c r="K8" s="10">
        <v>1</v>
      </c>
      <c r="L8" s="10">
        <v>1</v>
      </c>
      <c r="M8" s="10">
        <v>2</v>
      </c>
      <c r="N8" s="10">
        <v>2</v>
      </c>
      <c r="O8" s="10">
        <v>1</v>
      </c>
      <c r="P8" s="10">
        <v>2</v>
      </c>
      <c r="Q8" s="10">
        <v>2</v>
      </c>
      <c r="R8" s="11">
        <v>2</v>
      </c>
    </row>
    <row r="9" spans="2:18">
      <c r="B9" s="4" t="s">
        <v>120</v>
      </c>
      <c r="C9">
        <v>2.0299999999999998</v>
      </c>
      <c r="D9">
        <v>0</v>
      </c>
      <c r="E9" s="5">
        <v>1</v>
      </c>
      <c r="H9" s="130"/>
      <c r="I9" s="10">
        <v>3.03</v>
      </c>
      <c r="J9" s="10">
        <v>4</v>
      </c>
      <c r="K9" s="10">
        <v>2</v>
      </c>
      <c r="L9" s="10">
        <v>1</v>
      </c>
      <c r="M9" s="10">
        <v>4</v>
      </c>
      <c r="N9" s="10">
        <v>3</v>
      </c>
      <c r="O9" s="10">
        <v>2</v>
      </c>
      <c r="P9" s="10">
        <v>4</v>
      </c>
      <c r="Q9" s="10">
        <v>4</v>
      </c>
      <c r="R9" s="11">
        <v>4</v>
      </c>
    </row>
    <row r="10" spans="2:18">
      <c r="B10" s="4" t="s">
        <v>120</v>
      </c>
      <c r="C10">
        <v>2.04</v>
      </c>
      <c r="D10">
        <v>0</v>
      </c>
      <c r="E10" s="5">
        <v>1</v>
      </c>
      <c r="H10" s="130"/>
      <c r="I10" s="10">
        <v>3.04</v>
      </c>
      <c r="J10" s="10">
        <v>4</v>
      </c>
      <c r="K10" s="10">
        <v>2</v>
      </c>
      <c r="L10" s="10">
        <v>1</v>
      </c>
      <c r="M10" s="10">
        <v>4</v>
      </c>
      <c r="N10" s="10">
        <v>3</v>
      </c>
      <c r="O10" s="10">
        <v>2</v>
      </c>
      <c r="P10" s="10">
        <v>4</v>
      </c>
      <c r="Q10" s="10">
        <v>4</v>
      </c>
      <c r="R10" s="11">
        <v>4</v>
      </c>
    </row>
    <row r="11" spans="2:18">
      <c r="B11" s="4"/>
      <c r="C11">
        <v>2.0499999999999998</v>
      </c>
      <c r="E11" s="5"/>
      <c r="H11" s="130"/>
      <c r="I11" s="10">
        <v>3.05</v>
      </c>
      <c r="J11" s="10">
        <v>2</v>
      </c>
      <c r="K11" s="10">
        <v>1</v>
      </c>
      <c r="L11" s="10">
        <v>1</v>
      </c>
      <c r="M11" s="10">
        <v>2</v>
      </c>
      <c r="N11" s="10">
        <v>2</v>
      </c>
      <c r="O11" s="10">
        <v>1</v>
      </c>
      <c r="P11" s="10">
        <v>2</v>
      </c>
      <c r="Q11" s="10">
        <v>2</v>
      </c>
      <c r="R11" s="11">
        <v>2</v>
      </c>
    </row>
    <row r="12" spans="2:18">
      <c r="B12" s="4" t="s">
        <v>120</v>
      </c>
      <c r="C12">
        <v>3.01</v>
      </c>
      <c r="D12" s="120" t="s">
        <v>147</v>
      </c>
      <c r="E12" s="121"/>
      <c r="H12" s="137" t="s">
        <v>148</v>
      </c>
      <c r="I12" s="138"/>
      <c r="J12" s="138"/>
      <c r="K12" s="138"/>
      <c r="L12" s="138"/>
      <c r="M12" s="138"/>
      <c r="N12" s="138"/>
      <c r="O12" s="138"/>
      <c r="P12" s="138"/>
      <c r="Q12" s="138"/>
      <c r="R12" s="140"/>
    </row>
    <row r="13" spans="2:18">
      <c r="B13" s="4" t="s">
        <v>149</v>
      </c>
      <c r="C13">
        <v>3.02</v>
      </c>
      <c r="D13" s="122"/>
      <c r="E13" s="123"/>
      <c r="H13" s="4" t="s">
        <v>150</v>
      </c>
      <c r="I13" s="10">
        <v>2.0499999999999998</v>
      </c>
      <c r="J13" s="10" t="s">
        <v>40</v>
      </c>
      <c r="K13" s="10" t="s">
        <v>151</v>
      </c>
      <c r="L13" s="10" t="s">
        <v>152</v>
      </c>
      <c r="M13" s="138"/>
      <c r="N13" s="138"/>
      <c r="O13" s="138"/>
      <c r="P13" s="138"/>
      <c r="Q13" s="138"/>
      <c r="R13" s="140"/>
    </row>
    <row r="14" spans="2:18">
      <c r="B14" s="4" t="s">
        <v>118</v>
      </c>
      <c r="C14">
        <v>3.03</v>
      </c>
      <c r="D14" s="122"/>
      <c r="E14" s="123"/>
      <c r="H14" s="130" t="s">
        <v>146</v>
      </c>
      <c r="I14" s="10">
        <v>3.01</v>
      </c>
      <c r="J14" s="10">
        <v>-1</v>
      </c>
      <c r="K14" s="10">
        <v>0</v>
      </c>
      <c r="L14" s="10">
        <v>-2</v>
      </c>
      <c r="M14" s="138"/>
      <c r="N14" s="138"/>
      <c r="O14" s="138"/>
      <c r="P14" s="138"/>
      <c r="Q14" s="138"/>
      <c r="R14" s="140"/>
    </row>
    <row r="15" spans="2:18" ht="15.95" thickBot="1">
      <c r="B15" s="4" t="s">
        <v>149</v>
      </c>
      <c r="C15">
        <v>3.04</v>
      </c>
      <c r="D15" s="122"/>
      <c r="E15" s="123"/>
      <c r="H15" s="139"/>
      <c r="I15" s="13" t="s">
        <v>153</v>
      </c>
      <c r="J15" s="13">
        <v>0</v>
      </c>
      <c r="K15" s="13">
        <v>0</v>
      </c>
      <c r="L15" s="13">
        <v>0</v>
      </c>
      <c r="M15" s="141"/>
      <c r="N15" s="141"/>
      <c r="O15" s="141"/>
      <c r="P15" s="141"/>
      <c r="Q15" s="141"/>
      <c r="R15" s="142"/>
    </row>
    <row r="16" spans="2:18">
      <c r="B16" s="4" t="s">
        <v>120</v>
      </c>
      <c r="C16">
        <v>3.05</v>
      </c>
      <c r="D16" s="124"/>
      <c r="E16" s="125"/>
    </row>
    <row r="17" spans="2:11">
      <c r="B17" s="4" t="s">
        <v>154</v>
      </c>
      <c r="C17">
        <v>4.01</v>
      </c>
      <c r="D17">
        <v>0</v>
      </c>
      <c r="E17" s="5">
        <v>1</v>
      </c>
    </row>
    <row r="18" spans="2:11" ht="15.95" thickBot="1">
      <c r="B18" s="4" t="s">
        <v>120</v>
      </c>
      <c r="C18">
        <v>4.0199999999999996</v>
      </c>
      <c r="D18">
        <v>0</v>
      </c>
      <c r="E18" s="5">
        <v>1</v>
      </c>
    </row>
    <row r="19" spans="2:11">
      <c r="B19" s="4" t="s">
        <v>120</v>
      </c>
      <c r="C19">
        <v>4.03</v>
      </c>
      <c r="D19">
        <v>0</v>
      </c>
      <c r="E19" s="5">
        <v>1</v>
      </c>
      <c r="H19" s="134" t="s">
        <v>155</v>
      </c>
      <c r="I19" s="135"/>
      <c r="J19" s="135"/>
      <c r="K19" s="136"/>
    </row>
    <row r="20" spans="2:11">
      <c r="B20" s="4" t="s">
        <v>118</v>
      </c>
      <c r="C20">
        <v>4.04</v>
      </c>
      <c r="D20">
        <v>-1</v>
      </c>
      <c r="E20" s="5">
        <v>1</v>
      </c>
      <c r="H20" s="4" t="s">
        <v>156</v>
      </c>
      <c r="I20" s="12">
        <v>1</v>
      </c>
      <c r="J20" s="12">
        <v>2</v>
      </c>
      <c r="K20" s="9">
        <v>4</v>
      </c>
    </row>
    <row r="21" spans="2:11" ht="15.95" thickBot="1">
      <c r="B21" s="4" t="s">
        <v>120</v>
      </c>
      <c r="C21">
        <v>4.05</v>
      </c>
      <c r="D21">
        <v>0</v>
      </c>
      <c r="E21" s="5">
        <v>1</v>
      </c>
      <c r="H21" s="6" t="s">
        <v>6</v>
      </c>
      <c r="I21" s="14">
        <v>1</v>
      </c>
      <c r="J21" s="14">
        <v>0</v>
      </c>
      <c r="K21" s="15">
        <v>-1</v>
      </c>
    </row>
    <row r="22" spans="2:11">
      <c r="B22" s="4" t="s">
        <v>120</v>
      </c>
      <c r="C22">
        <v>4.0599999999999996</v>
      </c>
      <c r="D22">
        <v>0</v>
      </c>
      <c r="E22" s="5">
        <v>1</v>
      </c>
    </row>
    <row r="23" spans="2:11">
      <c r="B23" s="4" t="s">
        <v>120</v>
      </c>
      <c r="C23">
        <v>4.07</v>
      </c>
      <c r="D23">
        <v>0</v>
      </c>
      <c r="E23" s="5">
        <v>1</v>
      </c>
    </row>
    <row r="24" spans="2:11" ht="15.95" thickBot="1">
      <c r="B24" s="4" t="s">
        <v>149</v>
      </c>
      <c r="C24">
        <v>4.08</v>
      </c>
      <c r="D24">
        <v>0</v>
      </c>
      <c r="E24" s="5">
        <v>1</v>
      </c>
    </row>
    <row r="25" spans="2:11">
      <c r="B25" s="4" t="s">
        <v>149</v>
      </c>
      <c r="C25">
        <v>4.09</v>
      </c>
      <c r="D25">
        <v>0</v>
      </c>
      <c r="E25" s="5">
        <v>1</v>
      </c>
      <c r="H25" s="131" t="s">
        <v>157</v>
      </c>
      <c r="I25" s="132"/>
      <c r="J25" s="132"/>
      <c r="K25" s="133"/>
    </row>
    <row r="26" spans="2:11">
      <c r="B26" s="4" t="s">
        <v>149</v>
      </c>
      <c r="C26">
        <v>4.0999999999999996</v>
      </c>
      <c r="D26">
        <v>0</v>
      </c>
      <c r="E26" s="5">
        <v>1</v>
      </c>
      <c r="H26" s="95" t="s">
        <v>158</v>
      </c>
      <c r="I26" s="151" t="str">
        <f>IF(OR('WRA Worksheet'!C65="?",'WRA Worksheet'!C66="?",'WRA Worksheet'!C67="?",'WRA Worksheet'!C67="no"),"eval.",IF(AND('WRA Worksheet'!C65="yes",'WRA Worksheet'!C66="yes",'WRA Worksheet'!C67="yes"),"reject",IF(OR('WRA Worksheet'!C65="no",'WRA Worksheet'!C66="no"),"accept","")))</f>
        <v>accept</v>
      </c>
      <c r="J26" s="151"/>
      <c r="K26" s="152"/>
    </row>
    <row r="27" spans="2:11" ht="15.95" thickBot="1">
      <c r="B27" s="4" t="s">
        <v>149</v>
      </c>
      <c r="C27">
        <v>4.1100000000000003</v>
      </c>
      <c r="D27">
        <v>0</v>
      </c>
      <c r="E27" s="5">
        <v>1</v>
      </c>
      <c r="H27" s="96" t="s">
        <v>159</v>
      </c>
      <c r="I27" s="153" t="str">
        <f>IF('WRA Worksheet'!C68="no","accept",IF(AND('WRA Worksheet'!C68="yes",OR('WRA Worksheet'!C69="yes",'WRA Worksheet'!C70="yes")),"reject",IF(OR('WRA Worksheet'!C68="?",'WRA Worksheet'!C69="?",'WRA Worksheet'!C70="?",'WRA Worksheet'!C69="no",'WRA Worksheet'!C70="no"),"eval.","")))</f>
        <v>accept</v>
      </c>
      <c r="J27" s="153"/>
      <c r="K27" s="154"/>
    </row>
    <row r="28" spans="2:11">
      <c r="B28" s="4" t="s">
        <v>120</v>
      </c>
      <c r="C28">
        <v>4.12</v>
      </c>
      <c r="D28">
        <v>0</v>
      </c>
      <c r="E28" s="5">
        <v>1</v>
      </c>
    </row>
    <row r="29" spans="2:11">
      <c r="B29" s="4" t="s">
        <v>160</v>
      </c>
      <c r="C29">
        <v>5.01</v>
      </c>
      <c r="D29">
        <v>0</v>
      </c>
      <c r="E29" s="5">
        <v>5</v>
      </c>
    </row>
    <row r="30" spans="2:11">
      <c r="B30" s="4" t="s">
        <v>120</v>
      </c>
      <c r="C30">
        <v>5.0199999999999996</v>
      </c>
      <c r="D30">
        <v>0</v>
      </c>
      <c r="E30" s="5">
        <v>1</v>
      </c>
    </row>
    <row r="31" spans="2:11">
      <c r="B31" s="4" t="s">
        <v>149</v>
      </c>
      <c r="C31">
        <v>5.03</v>
      </c>
      <c r="D31">
        <v>0</v>
      </c>
      <c r="E31" s="5">
        <v>1</v>
      </c>
    </row>
    <row r="32" spans="2:11">
      <c r="B32" s="4" t="s">
        <v>120</v>
      </c>
      <c r="C32">
        <v>5.04</v>
      </c>
      <c r="D32">
        <v>0</v>
      </c>
      <c r="E32" s="5">
        <v>1</v>
      </c>
    </row>
    <row r="33" spans="2:5">
      <c r="B33" s="4" t="s">
        <v>120</v>
      </c>
      <c r="C33">
        <v>6.01</v>
      </c>
      <c r="D33">
        <v>0</v>
      </c>
      <c r="E33" s="5">
        <v>1</v>
      </c>
    </row>
    <row r="34" spans="2:5">
      <c r="B34" s="4" t="s">
        <v>120</v>
      </c>
      <c r="C34">
        <v>6.02</v>
      </c>
      <c r="D34">
        <v>-1</v>
      </c>
      <c r="E34" s="5">
        <v>1</v>
      </c>
    </row>
    <row r="35" spans="2:5">
      <c r="B35" s="4" t="s">
        <v>118</v>
      </c>
      <c r="C35">
        <v>6.03</v>
      </c>
      <c r="D35">
        <v>-1</v>
      </c>
      <c r="E35" s="5">
        <v>1</v>
      </c>
    </row>
    <row r="36" spans="2:5">
      <c r="B36" s="4" t="s">
        <v>120</v>
      </c>
      <c r="C36">
        <v>6.04</v>
      </c>
      <c r="D36">
        <v>-1</v>
      </c>
      <c r="E36" s="5">
        <v>1</v>
      </c>
    </row>
    <row r="37" spans="2:5">
      <c r="B37" s="4" t="s">
        <v>120</v>
      </c>
      <c r="C37">
        <v>6.05</v>
      </c>
      <c r="D37">
        <v>0</v>
      </c>
      <c r="E37" s="5">
        <v>-1</v>
      </c>
    </row>
    <row r="38" spans="2:5">
      <c r="B38" s="4" t="s">
        <v>118</v>
      </c>
      <c r="C38">
        <v>6.06</v>
      </c>
      <c r="D38">
        <v>-1</v>
      </c>
      <c r="E38" s="5">
        <v>1</v>
      </c>
    </row>
    <row r="39" spans="2:5">
      <c r="B39" s="4" t="s">
        <v>120</v>
      </c>
      <c r="C39">
        <v>6.07</v>
      </c>
      <c r="D39" s="126" t="s">
        <v>161</v>
      </c>
      <c r="E39" s="127"/>
    </row>
    <row r="40" spans="2:5">
      <c r="B40" s="4" t="s">
        <v>118</v>
      </c>
      <c r="C40">
        <v>7.01</v>
      </c>
      <c r="D40">
        <v>-1</v>
      </c>
      <c r="E40" s="5">
        <v>1</v>
      </c>
    </row>
    <row r="41" spans="2:5">
      <c r="B41" s="4" t="s">
        <v>120</v>
      </c>
      <c r="C41">
        <v>7.02</v>
      </c>
      <c r="D41">
        <v>-1</v>
      </c>
      <c r="E41" s="5">
        <v>1</v>
      </c>
    </row>
    <row r="42" spans="2:5">
      <c r="B42" s="4" t="s">
        <v>118</v>
      </c>
      <c r="C42">
        <v>7.03</v>
      </c>
      <c r="D42">
        <v>-1</v>
      </c>
      <c r="E42" s="5">
        <v>1</v>
      </c>
    </row>
    <row r="43" spans="2:5">
      <c r="B43" s="4" t="s">
        <v>120</v>
      </c>
      <c r="C43">
        <v>7.04</v>
      </c>
      <c r="D43">
        <v>-1</v>
      </c>
      <c r="E43" s="5">
        <v>1</v>
      </c>
    </row>
    <row r="44" spans="2:5">
      <c r="B44" s="4" t="s">
        <v>149</v>
      </c>
      <c r="C44">
        <v>7.05</v>
      </c>
      <c r="D44">
        <v>-1</v>
      </c>
      <c r="E44" s="5">
        <v>1</v>
      </c>
    </row>
    <row r="45" spans="2:5">
      <c r="B45" s="4" t="s">
        <v>149</v>
      </c>
      <c r="C45">
        <v>7.06</v>
      </c>
      <c r="D45">
        <v>-1</v>
      </c>
      <c r="E45" s="5">
        <v>1</v>
      </c>
    </row>
    <row r="46" spans="2:5">
      <c r="B46" s="4" t="s">
        <v>120</v>
      </c>
      <c r="C46">
        <v>7.07</v>
      </c>
      <c r="D46">
        <v>-1</v>
      </c>
      <c r="E46" s="5">
        <v>1</v>
      </c>
    </row>
    <row r="47" spans="2:5">
      <c r="B47" s="4" t="s">
        <v>120</v>
      </c>
      <c r="C47">
        <v>7.08</v>
      </c>
      <c r="D47">
        <v>-1</v>
      </c>
      <c r="E47" s="5">
        <v>1</v>
      </c>
    </row>
    <row r="48" spans="2:5">
      <c r="B48" s="4" t="s">
        <v>120</v>
      </c>
      <c r="C48">
        <v>8.01</v>
      </c>
      <c r="D48">
        <v>-1</v>
      </c>
      <c r="E48" s="5">
        <v>1</v>
      </c>
    </row>
    <row r="49" spans="2:5">
      <c r="B49" s="4" t="s">
        <v>120</v>
      </c>
      <c r="C49">
        <v>8.02</v>
      </c>
      <c r="D49">
        <v>-1</v>
      </c>
      <c r="E49" s="5">
        <v>1</v>
      </c>
    </row>
    <row r="50" spans="2:5">
      <c r="B50" s="4" t="s">
        <v>118</v>
      </c>
      <c r="C50">
        <v>8.0299999999999994</v>
      </c>
      <c r="D50">
        <v>1</v>
      </c>
      <c r="E50" s="5">
        <v>-1</v>
      </c>
    </row>
    <row r="51" spans="2:5">
      <c r="B51" s="4" t="s">
        <v>118</v>
      </c>
      <c r="C51">
        <v>8.0399999999999991</v>
      </c>
      <c r="D51">
        <v>-1</v>
      </c>
      <c r="E51" s="5">
        <v>1</v>
      </c>
    </row>
    <row r="52" spans="2:5">
      <c r="B52" s="4" t="s">
        <v>120</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6" t="str">
        <f>'WRA Worksheet'!F1</f>
        <v>Assessment date: 22 Oct 2025 Prepared by Cameron Deelstra</v>
      </c>
      <c r="B1" s="147"/>
      <c r="C1" s="147"/>
      <c r="D1" s="98" t="s">
        <v>162</v>
      </c>
    </row>
    <row r="2" spans="1:4" ht="18.95">
      <c r="A2" s="143" t="s">
        <v>163</v>
      </c>
      <c r="B2" s="144"/>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164</v>
      </c>
      <c r="C6" s="76">
        <f>'WRA Worksheet'!C6</f>
        <v>3</v>
      </c>
      <c r="D6" s="83"/>
    </row>
    <row r="7" spans="1:4" ht="15.95">
      <c r="A7" s="74">
        <v>2.02</v>
      </c>
      <c r="B7" s="75" t="s">
        <v>165</v>
      </c>
      <c r="C7" s="76">
        <f>'WRA Worksheet'!C7</f>
        <v>3</v>
      </c>
      <c r="D7" s="83"/>
    </row>
    <row r="8" spans="1:4" ht="15.95">
      <c r="A8" s="74">
        <v>2.0299999999999998</v>
      </c>
      <c r="B8" s="75" t="s">
        <v>19</v>
      </c>
      <c r="C8" s="76" t="str">
        <f>'WRA Worksheet'!C8</f>
        <v>y</v>
      </c>
      <c r="D8" s="82">
        <f>'WRA Worksheet'!D8</f>
        <v>1</v>
      </c>
    </row>
    <row r="9" spans="1:4" ht="51.95">
      <c r="A9" s="74">
        <v>2.04</v>
      </c>
      <c r="B9" s="78" t="s">
        <v>21</v>
      </c>
      <c r="C9" s="76" t="str">
        <f>'WRA Worksheet'!C9</f>
        <v>y</v>
      </c>
      <c r="D9" s="82">
        <f>'WRA Worksheet'!D9</f>
        <v>1</v>
      </c>
    </row>
    <row r="10" spans="1:4" ht="32.1">
      <c r="A10" s="74">
        <v>2.0499999999999998</v>
      </c>
      <c r="B10" s="75" t="s">
        <v>24</v>
      </c>
      <c r="C10" s="79" t="str">
        <f>'WRA Worksheet'!C10</f>
        <v>y</v>
      </c>
      <c r="D10" s="83"/>
    </row>
    <row r="11" spans="1:4" ht="15.95">
      <c r="A11" s="74">
        <v>3.01</v>
      </c>
      <c r="B11" s="75" t="s">
        <v>27</v>
      </c>
      <c r="C11" s="76" t="str">
        <f>'WRA Worksheet'!C11</f>
        <v>y</v>
      </c>
      <c r="D11" s="82">
        <f>'WRA Worksheet'!D11</f>
        <v>2</v>
      </c>
    </row>
    <row r="12" spans="1:4" ht="15.95">
      <c r="A12" s="74">
        <v>3.02</v>
      </c>
      <c r="B12" s="75" t="s">
        <v>30</v>
      </c>
      <c r="C12" s="76" t="str">
        <f>'WRA Worksheet'!C12</f>
        <v>n</v>
      </c>
      <c r="D12" s="82">
        <f>'WRA Worksheet'!D12</f>
        <v>0</v>
      </c>
    </row>
    <row r="13" spans="1:4" ht="15.95">
      <c r="A13" s="74">
        <v>3.03</v>
      </c>
      <c r="B13" s="75" t="s">
        <v>32</v>
      </c>
      <c r="C13" s="76" t="str">
        <f>'WRA Worksheet'!C13</f>
        <v>n</v>
      </c>
      <c r="D13" s="82">
        <f>'WRA Worksheet'!D13</f>
        <v>0</v>
      </c>
    </row>
    <row r="14" spans="1:4" ht="15.95">
      <c r="A14" s="74">
        <v>3.04</v>
      </c>
      <c r="B14" s="75" t="s">
        <v>33</v>
      </c>
      <c r="C14" s="76" t="str">
        <f>'WRA Worksheet'!C14</f>
        <v>n</v>
      </c>
      <c r="D14" s="82">
        <f>'WRA Worksheet'!D14</f>
        <v>0</v>
      </c>
    </row>
    <row r="15" spans="1:4" ht="15.95">
      <c r="A15" s="74">
        <v>3.05</v>
      </c>
      <c r="B15" s="75" t="s">
        <v>35</v>
      </c>
      <c r="C15" s="76" t="str">
        <f>'WRA Worksheet'!C15</f>
        <v>y</v>
      </c>
      <c r="D15" s="82">
        <f>'WRA Worksheet'!D15</f>
        <v>2</v>
      </c>
    </row>
    <row r="16" spans="1:4" ht="15.95">
      <c r="A16" s="74">
        <v>4.01</v>
      </c>
      <c r="B16" s="75" t="s">
        <v>38</v>
      </c>
      <c r="C16" s="76" t="str">
        <f>'WRA Worksheet'!C16</f>
        <v>n</v>
      </c>
      <c r="D16" s="82">
        <f>'WRA Worksheet'!D16</f>
        <v>0</v>
      </c>
    </row>
    <row r="17" spans="1:4" ht="15.95">
      <c r="A17" s="74">
        <v>4.0199999999999996</v>
      </c>
      <c r="B17" s="75" t="s">
        <v>39</v>
      </c>
      <c r="C17" s="76" t="str">
        <f>'WRA Worksheet'!C17</f>
        <v>?</v>
      </c>
      <c r="D17" s="82" t="str">
        <f>'WRA Worksheet'!D17</f>
        <v xml:space="preserve"> </v>
      </c>
    </row>
    <row r="18" spans="1:4" ht="15.95">
      <c r="A18" s="74">
        <v>4.03</v>
      </c>
      <c r="B18" s="75" t="s">
        <v>43</v>
      </c>
      <c r="C18" s="76" t="str">
        <f>'WRA Worksheet'!C18</f>
        <v>n</v>
      </c>
      <c r="D18" s="82">
        <f>'WRA Worksheet'!D18</f>
        <v>0</v>
      </c>
    </row>
    <row r="19" spans="1:4" ht="15.95">
      <c r="A19" s="74">
        <v>4.04</v>
      </c>
      <c r="B19" s="75" t="s">
        <v>44</v>
      </c>
      <c r="C19" s="76" t="str">
        <f>'WRA Worksheet'!C19</f>
        <v>n</v>
      </c>
      <c r="D19" s="82">
        <f>'WRA Worksheet'!D19</f>
        <v>-1</v>
      </c>
    </row>
    <row r="20" spans="1:4" ht="15.95">
      <c r="A20" s="74">
        <v>4.05</v>
      </c>
      <c r="B20" s="75" t="s">
        <v>47</v>
      </c>
      <c r="C20" s="76" t="str">
        <f>'WRA Worksheet'!C20</f>
        <v>n</v>
      </c>
      <c r="D20" s="82">
        <f>'WRA Worksheet'!D20</f>
        <v>0</v>
      </c>
    </row>
    <row r="21" spans="1:4" ht="15.95">
      <c r="A21" s="74">
        <v>4.0599999999999996</v>
      </c>
      <c r="B21" s="75" t="s">
        <v>48</v>
      </c>
      <c r="C21" s="76" t="str">
        <f>'WRA Worksheet'!C21</f>
        <v>n</v>
      </c>
      <c r="D21" s="82">
        <f>'WRA Worksheet'!D21</f>
        <v>0</v>
      </c>
    </row>
    <row r="22" spans="1:4" ht="15.95">
      <c r="A22" s="74">
        <v>4.07</v>
      </c>
      <c r="B22" s="75" t="s">
        <v>51</v>
      </c>
      <c r="C22" s="76" t="str">
        <f>'WRA Worksheet'!C22</f>
        <v>n</v>
      </c>
      <c r="D22" s="82">
        <f>'WRA Worksheet'!D22</f>
        <v>0</v>
      </c>
    </row>
    <row r="23" spans="1:4" ht="15.95">
      <c r="A23" s="74">
        <v>4.08</v>
      </c>
      <c r="B23" s="75" t="s">
        <v>52</v>
      </c>
      <c r="C23" s="76" t="str">
        <f>'WRA Worksheet'!C23</f>
        <v>n</v>
      </c>
      <c r="D23" s="82">
        <f>'WRA Worksheet'!D23</f>
        <v>0</v>
      </c>
    </row>
    <row r="24" spans="1:4" ht="15.95">
      <c r="A24" s="74">
        <v>4.09</v>
      </c>
      <c r="B24" s="75" t="s">
        <v>53</v>
      </c>
      <c r="C24" s="76" t="str">
        <f>'WRA Worksheet'!C24</f>
        <v>y</v>
      </c>
      <c r="D24" s="82">
        <f>'WRA Worksheet'!D24</f>
        <v>1</v>
      </c>
    </row>
    <row r="25" spans="1:4" ht="32.1">
      <c r="A25" s="74">
        <v>4.0999999999999996</v>
      </c>
      <c r="B25" s="80" t="s">
        <v>56</v>
      </c>
      <c r="C25" s="76" t="str">
        <f>'WRA Worksheet'!C25</f>
        <v>n</v>
      </c>
      <c r="D25" s="82">
        <f>'WRA Worksheet'!D25</f>
        <v>0</v>
      </c>
    </row>
    <row r="26" spans="1:4" ht="15.95">
      <c r="A26" s="74">
        <v>4.1100000000000003</v>
      </c>
      <c r="B26" s="75" t="s">
        <v>59</v>
      </c>
      <c r="C26" s="76" t="str">
        <f>'WRA Worksheet'!C26</f>
        <v>n</v>
      </c>
      <c r="D26" s="82">
        <f>'WRA Worksheet'!D26</f>
        <v>0</v>
      </c>
    </row>
    <row r="27" spans="1:4" ht="15.95">
      <c r="A27" s="74">
        <v>4.12</v>
      </c>
      <c r="B27" s="75" t="s">
        <v>62</v>
      </c>
      <c r="C27" s="76" t="str">
        <f>'WRA Worksheet'!C27</f>
        <v>?</v>
      </c>
      <c r="D27" s="82" t="str">
        <f>'WRA Worksheet'!D27</f>
        <v xml:space="preserve"> </v>
      </c>
    </row>
    <row r="28" spans="1:4" ht="15.95">
      <c r="A28" s="74">
        <v>5.01</v>
      </c>
      <c r="B28" s="75" t="s">
        <v>65</v>
      </c>
      <c r="C28" s="76" t="str">
        <f>'WRA Worksheet'!C28</f>
        <v>n</v>
      </c>
      <c r="D28" s="82">
        <f>'WRA Worksheet'!D28</f>
        <v>0</v>
      </c>
    </row>
    <row r="29" spans="1:4" ht="15.95">
      <c r="A29" s="74">
        <v>5.0199999999999996</v>
      </c>
      <c r="B29" s="75" t="s">
        <v>67</v>
      </c>
      <c r="C29" s="76" t="str">
        <f>'WRA Worksheet'!C29</f>
        <v>n</v>
      </c>
      <c r="D29" s="82">
        <f>'WRA Worksheet'!D29</f>
        <v>0</v>
      </c>
    </row>
    <row r="30" spans="1:4" ht="15.95">
      <c r="A30" s="74">
        <v>5.03</v>
      </c>
      <c r="B30" s="75" t="s">
        <v>69</v>
      </c>
      <c r="C30" s="76" t="str">
        <f>'WRA Worksheet'!C30</f>
        <v>n</v>
      </c>
      <c r="D30" s="82">
        <f>'WRA Worksheet'!D30</f>
        <v>0</v>
      </c>
    </row>
    <row r="31" spans="1:4" ht="15.95">
      <c r="A31" s="74">
        <v>5.04</v>
      </c>
      <c r="B31" s="75" t="s">
        <v>70</v>
      </c>
      <c r="C31" s="76" t="str">
        <f>'WRA Worksheet'!C31</f>
        <v>n</v>
      </c>
      <c r="D31" s="82">
        <f>'WRA Worksheet'!D31</f>
        <v>0</v>
      </c>
    </row>
    <row r="32" spans="1:4" ht="15.95">
      <c r="A32" s="74">
        <v>6.01</v>
      </c>
      <c r="B32" s="75" t="s">
        <v>71</v>
      </c>
      <c r="C32" s="76" t="str">
        <f>'WRA Worksheet'!C32</f>
        <v>?</v>
      </c>
      <c r="D32" s="82" t="str">
        <f>'WRA Worksheet'!D32</f>
        <v xml:space="preserve"> </v>
      </c>
    </row>
    <row r="33" spans="1:4" ht="15.95">
      <c r="A33" s="74">
        <v>6.02</v>
      </c>
      <c r="B33" s="75" t="s">
        <v>74</v>
      </c>
      <c r="C33" s="76" t="str">
        <f>'WRA Worksheet'!C33</f>
        <v>y</v>
      </c>
      <c r="D33" s="82">
        <f>'WRA Worksheet'!D33</f>
        <v>1</v>
      </c>
    </row>
    <row r="34" spans="1:4" ht="15.95">
      <c r="A34" s="74">
        <v>6.03</v>
      </c>
      <c r="B34" s="75" t="s">
        <v>77</v>
      </c>
      <c r="C34" s="76" t="str">
        <f>'WRA Worksheet'!C34</f>
        <v>?</v>
      </c>
      <c r="D34" s="82" t="str">
        <f>'WRA Worksheet'!D34</f>
        <v xml:space="preserve"> </v>
      </c>
    </row>
    <row r="35" spans="1:4" ht="15.95">
      <c r="A35" s="74">
        <v>6.04</v>
      </c>
      <c r="B35" s="75" t="s">
        <v>80</v>
      </c>
      <c r="C35" s="76" t="str">
        <f>'WRA Worksheet'!C35</f>
        <v>?</v>
      </c>
      <c r="D35" s="82" t="str">
        <f>'WRA Worksheet'!D35</f>
        <v xml:space="preserve"> </v>
      </c>
    </row>
    <row r="36" spans="1:4" ht="15.95">
      <c r="A36" s="74">
        <v>6.05</v>
      </c>
      <c r="B36" s="75" t="s">
        <v>83</v>
      </c>
      <c r="C36" s="76" t="str">
        <f>'WRA Worksheet'!C36</f>
        <v>n</v>
      </c>
      <c r="D36" s="82">
        <f>'WRA Worksheet'!D36</f>
        <v>0</v>
      </c>
    </row>
    <row r="37" spans="1:4" ht="15.95">
      <c r="A37" s="74">
        <v>6.06</v>
      </c>
      <c r="B37" s="75" t="s">
        <v>86</v>
      </c>
      <c r="C37" s="76" t="str">
        <f>'WRA Worksheet'!C37</f>
        <v>y</v>
      </c>
      <c r="D37" s="82">
        <f>'WRA Worksheet'!D37</f>
        <v>1</v>
      </c>
    </row>
    <row r="38" spans="1:4" ht="15.95">
      <c r="A38" s="74">
        <v>6.07</v>
      </c>
      <c r="B38" s="75" t="s">
        <v>89</v>
      </c>
      <c r="C38" s="81" t="str">
        <f>'WRA Worksheet'!C38</f>
        <v>1 or fewer</v>
      </c>
      <c r="D38" s="82">
        <f>'WRA Worksheet'!D38</f>
        <v>1</v>
      </c>
    </row>
    <row r="39" spans="1:4" ht="32.1">
      <c r="A39" s="74">
        <v>7.01</v>
      </c>
      <c r="B39" s="75" t="s">
        <v>93</v>
      </c>
      <c r="C39" s="76" t="str">
        <f>'WRA Worksheet'!C39</f>
        <v>?</v>
      </c>
      <c r="D39" s="82" t="str">
        <f>'WRA Worksheet'!D39</f>
        <v xml:space="preserve"> </v>
      </c>
    </row>
    <row r="40" spans="1:4" ht="15.95">
      <c r="A40" s="74">
        <v>7.02</v>
      </c>
      <c r="B40" s="75" t="s">
        <v>96</v>
      </c>
      <c r="C40" s="76" t="str">
        <f>'WRA Worksheet'!C40</f>
        <v>y</v>
      </c>
      <c r="D40" s="82">
        <f>'WRA Worksheet'!D40</f>
        <v>1</v>
      </c>
    </row>
    <row r="41" spans="1:4" ht="15.95">
      <c r="A41" s="74">
        <v>7.03</v>
      </c>
      <c r="B41" s="75" t="s">
        <v>99</v>
      </c>
      <c r="C41" s="76" t="str">
        <f>'WRA Worksheet'!C41</f>
        <v>n</v>
      </c>
      <c r="D41" s="82">
        <f>'WRA Worksheet'!D41</f>
        <v>-1</v>
      </c>
    </row>
    <row r="42" spans="1:4" ht="15.95">
      <c r="A42" s="74">
        <v>7.04</v>
      </c>
      <c r="B42" s="75" t="s">
        <v>100</v>
      </c>
      <c r="C42" s="76" t="str">
        <f>'WRA Worksheet'!C42</f>
        <v>n</v>
      </c>
      <c r="D42" s="82">
        <f>'WRA Worksheet'!D42</f>
        <v>-1</v>
      </c>
    </row>
    <row r="43" spans="1:4" ht="15.95">
      <c r="A43" s="74">
        <v>7.05</v>
      </c>
      <c r="B43" s="75" t="s">
        <v>101</v>
      </c>
      <c r="C43" s="76" t="str">
        <f>'WRA Worksheet'!C43</f>
        <v>n</v>
      </c>
      <c r="D43" s="82">
        <f>'WRA Worksheet'!D43</f>
        <v>-1</v>
      </c>
    </row>
    <row r="44" spans="1:4" ht="15.95">
      <c r="A44" s="74">
        <v>7.06</v>
      </c>
      <c r="B44" s="75" t="s">
        <v>102</v>
      </c>
      <c r="C44" s="76" t="str">
        <f>'WRA Worksheet'!C44</f>
        <v>n</v>
      </c>
      <c r="D44" s="82">
        <f>'WRA Worksheet'!D44</f>
        <v>-1</v>
      </c>
    </row>
    <row r="45" spans="1:4" ht="15.95">
      <c r="A45" s="74">
        <v>7.07</v>
      </c>
      <c r="B45" s="75" t="s">
        <v>103</v>
      </c>
      <c r="C45" s="76" t="str">
        <f>'WRA Worksheet'!C45</f>
        <v>n</v>
      </c>
      <c r="D45" s="82">
        <f>'WRA Worksheet'!D45</f>
        <v>-1</v>
      </c>
    </row>
    <row r="46" spans="1:4" ht="15.95">
      <c r="A46" s="74">
        <v>7.08</v>
      </c>
      <c r="B46" s="75" t="s">
        <v>104</v>
      </c>
      <c r="C46" s="76" t="str">
        <f>'WRA Worksheet'!C46</f>
        <v>n</v>
      </c>
      <c r="D46" s="82">
        <f>'WRA Worksheet'!D46</f>
        <v>-1</v>
      </c>
    </row>
    <row r="47" spans="1:4" ht="15.95">
      <c r="A47" s="74">
        <v>8.01</v>
      </c>
      <c r="B47" s="75" t="s">
        <v>105</v>
      </c>
      <c r="C47" s="76" t="str">
        <f>'WRA Worksheet'!C47</f>
        <v>?</v>
      </c>
      <c r="D47" s="82" t="str">
        <f>'WRA Worksheet'!D47</f>
        <v xml:space="preserve"> </v>
      </c>
    </row>
    <row r="48" spans="1:4" ht="15.95">
      <c r="A48" s="74">
        <v>8.02</v>
      </c>
      <c r="B48" s="75" t="s">
        <v>107</v>
      </c>
      <c r="C48" s="76" t="str">
        <f>'WRA Worksheet'!C48</f>
        <v>n</v>
      </c>
      <c r="D48" s="82">
        <f>'WRA Worksheet'!D48</f>
        <v>-1</v>
      </c>
    </row>
    <row r="49" spans="1:4" ht="15.95">
      <c r="A49" s="74">
        <v>8.0299999999999994</v>
      </c>
      <c r="B49" s="75" t="s">
        <v>108</v>
      </c>
      <c r="C49" s="76" t="str">
        <f>'WRA Worksheet'!C49</f>
        <v>?</v>
      </c>
      <c r="D49" s="82" t="str">
        <f>'WRA Worksheet'!D49</f>
        <v xml:space="preserve"> </v>
      </c>
    </row>
    <row r="50" spans="1:4" ht="15.95">
      <c r="A50" s="74">
        <v>8.0399999999999991</v>
      </c>
      <c r="B50" s="75" t="s">
        <v>110</v>
      </c>
      <c r="C50" s="76" t="str">
        <f>'WRA Worksheet'!C50</f>
        <v>y</v>
      </c>
      <c r="D50" s="82">
        <f>'WRA Worksheet'!D50</f>
        <v>1</v>
      </c>
    </row>
    <row r="51" spans="1:4" ht="15.95">
      <c r="A51" s="74">
        <v>8.0500000000000007</v>
      </c>
      <c r="B51" s="67" t="s">
        <v>112</v>
      </c>
      <c r="C51" s="76" t="str">
        <f>'WRA Worksheet'!C51</f>
        <v>n</v>
      </c>
      <c r="D51" s="82">
        <f>'WRA Worksheet'!D51</f>
        <v>1</v>
      </c>
    </row>
    <row r="52" spans="1:4" ht="15.95">
      <c r="A52" s="31"/>
      <c r="B52" s="32" t="s">
        <v>113</v>
      </c>
      <c r="C52" s="145">
        <f>'WRA Worksheet'!D53</f>
        <v>5</v>
      </c>
      <c r="D52" s="145"/>
    </row>
    <row r="53" spans="1:4" ht="15.95">
      <c r="A53" s="33"/>
      <c r="B53" s="34" t="s">
        <v>166</v>
      </c>
      <c r="C53" s="145" t="str" cm="1">
        <f t="array" ref="C53">IF(OR('WRA Worksheet'!C71:D71="yes", 'WRA Worksheet'!C72:D72="yes", 'WRA Worksheet'!C73:D73="yes"),"yes","no")</f>
        <v>yes</v>
      </c>
      <c r="D53" s="145"/>
    </row>
    <row r="54" spans="1:4" ht="15.95">
      <c r="A54" s="33"/>
      <c r="B54" s="34" t="s">
        <v>167</v>
      </c>
      <c r="C54" s="145" t="str">
        <f>IF(C53="yes", 'WRA Worksheet'!C74, 'WRA Worksheet'!D54)</f>
        <v>Accept</v>
      </c>
      <c r="D54" s="145"/>
    </row>
    <row r="55" spans="1:4" ht="15.95" thickBot="1">
      <c r="A55" s="35"/>
      <c r="B55" s="36"/>
      <c r="C55" s="36"/>
      <c r="D55" s="37"/>
    </row>
    <row r="56" spans="1:4" ht="30.95" thickTop="1">
      <c r="A56" s="38" t="s">
        <v>168</v>
      </c>
      <c r="B56" s="39" t="s">
        <v>169</v>
      </c>
      <c r="C56" s="40" t="s">
        <v>117</v>
      </c>
      <c r="D56" s="37"/>
    </row>
    <row r="57" spans="1:4">
      <c r="A57" s="41" t="s">
        <v>118</v>
      </c>
      <c r="B57" s="42">
        <f>'WRA Worksheet'!C57</f>
        <v>11</v>
      </c>
      <c r="C57" s="43" t="str">
        <f>IF(B57&gt;=2,"yes","no")</f>
        <v>yes</v>
      </c>
      <c r="D57" s="37"/>
    </row>
    <row r="58" spans="1:4">
      <c r="A58" s="41" t="s">
        <v>119</v>
      </c>
      <c r="B58" s="42">
        <f>'WRA Worksheet'!C58</f>
        <v>10</v>
      </c>
      <c r="C58" s="43" t="str">
        <f>IF(B58&gt;=2,"yes","no")</f>
        <v>yes</v>
      </c>
      <c r="D58" s="37"/>
    </row>
    <row r="59" spans="1:4">
      <c r="A59" s="41" t="s">
        <v>120</v>
      </c>
      <c r="B59" s="42">
        <f>'WRA Worksheet'!C59</f>
        <v>17</v>
      </c>
      <c r="C59" s="43" t="str">
        <f>IF(B59&gt;=6,"yes","no")</f>
        <v>yes</v>
      </c>
      <c r="D59" s="37"/>
    </row>
    <row r="60" spans="1:4" ht="15.95" thickBot="1">
      <c r="A60" s="44" t="s">
        <v>121</v>
      </c>
      <c r="B60" s="45">
        <f>'WRA Worksheet'!C60</f>
        <v>38</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v>
      </c>
      <c r="C2" s="51">
        <v>0</v>
      </c>
    </row>
    <row r="3" spans="1:3">
      <c r="A3" s="30">
        <v>1.02</v>
      </c>
      <c r="B3" s="50">
        <v>0</v>
      </c>
      <c r="C3" s="50">
        <v>0</v>
      </c>
    </row>
    <row r="4" spans="1:3">
      <c r="A4" s="30">
        <v>1.03</v>
      </c>
      <c r="B4" s="50">
        <v>0</v>
      </c>
      <c r="C4" s="50">
        <v>0</v>
      </c>
    </row>
    <row r="5" spans="1:3">
      <c r="A5" s="30">
        <v>2.0099999999999998</v>
      </c>
      <c r="B5" s="52" t="str">
        <v>Taxon is highly suited to grow across Florida.</v>
      </c>
      <c r="C5" s="53" t="str">
        <v>See climate suitability maps.</v>
      </c>
    </row>
    <row r="6" spans="1:3">
      <c r="A6" s="30">
        <v>2.02</v>
      </c>
      <c r="B6" s="53" t="str">
        <v>See climate suitability maps.</v>
      </c>
      <c r="C6" s="54">
        <v>0</v>
      </c>
    </row>
    <row r="7" spans="1:3">
      <c r="A7" s="30">
        <v>2.0299999999999998</v>
      </c>
      <c r="B7" s="54" t="str">
        <v>See climate suitability maps.</v>
      </c>
      <c r="C7" s="53">
        <v>0</v>
      </c>
    </row>
    <row r="8" spans="1:3">
      <c r="A8" s="30">
        <v>2.04</v>
      </c>
      <c r="B8" s="51" t="str">
        <v>Taxon grows best when soil is consistently moist. Taxon is not tolerant of drought. Native range has average precipitation of 500mm to 1100mm (1)(2)(3).
"Abutilon plants have average water needs. Avoid letting the soil dry out completely for long periods of time, but don't water so often that abutilons are sitting in water, either (1)."</v>
      </c>
      <c r="C8" s="51" t="str">
        <v>(1) https://www.thespruce.com/how-to-care-for-abutilon-plants-3976754#
(2) https://hayloft.co.uk/how-to-grow-abutilon-megapotanicum
(3) https://www.cpc.ncep.noaa.gov/products/Precip_Monitoring/Figures/SA/p.180day.figa.gif</v>
      </c>
    </row>
    <row r="9" spans="1:3">
      <c r="A9" s="30">
        <v>2.0499999999999998</v>
      </c>
      <c r="B9" s="51" t="str">
        <v>Taxon is noted to occur outside of its native range including North America, Europe, and Australia (1)</v>
      </c>
      <c r="C9" s="53" t="str">
        <v>(1) https://www.gbif.org/species/3937501</v>
      </c>
    </row>
    <row r="10" spans="1:3">
      <c r="A10" s="30">
        <v>3.01</v>
      </c>
      <c r="B10" s="51" t="str">
        <v>Taxon is naturalized in New Zealand (1). Populations sizes are small and scattered, but taxon is noted to occur outside of its native range including North America, Europe, and Australia suggesting other regions where taxon is naturalized (2)</v>
      </c>
      <c r="C10" s="53" t="str">
        <v>(1) https://floraseries.landcareresearch.co.nz/taxa/addab8a8-2af6-4c2b-ace0-1b8d41e5cbb0
(2) https://www.gbif.org/species/3937501</v>
      </c>
    </row>
    <row r="11" spans="1:3">
      <c r="A11" s="30">
        <v>3.02</v>
      </c>
      <c r="B11" s="50" t="str">
        <v>Taxon is not listed as an invasive or weedy plant.</v>
      </c>
      <c r="C11" s="53">
        <v>0</v>
      </c>
    </row>
    <row r="12" spans="1:3">
      <c r="A12" s="30">
        <v>3.03</v>
      </c>
      <c r="B12" s="50" t="str">
        <v>No evidence.</v>
      </c>
      <c r="C12" s="53">
        <v>0</v>
      </c>
    </row>
    <row r="13" spans="1:3">
      <c r="A13" s="30">
        <v>3.04</v>
      </c>
      <c r="B13" s="51" t="str">
        <v>Environmental impacts of taxon are not well known.</v>
      </c>
      <c r="C13" s="53">
        <v>0</v>
      </c>
    </row>
    <row r="14" spans="1:3">
      <c r="A14" s="30">
        <v>3.05</v>
      </c>
      <c r="B14" s="51" t="str">
        <v>A. theophrasti is a considered a weed in the U.S. (1)(2).
"An important fibre plant in Asia is A. theophrasti, called China jute; it is a very serious field weed in the United States, where it is called velvetleaf or Indian mallow (1)."</v>
      </c>
      <c r="C14" s="53" t="str">
        <v>(1) https://www.britannica.com/plant/Abutilon
(2) https://hort.extension.wisc.edu/articles/velvetleaf-abutilon-theophrasti/</v>
      </c>
    </row>
    <row r="15" spans="1:3">
      <c r="A15" s="30">
        <v>4.01</v>
      </c>
      <c r="B15" s="50" t="str">
        <v>No evidence.</v>
      </c>
      <c r="C15" s="55">
        <v>0</v>
      </c>
    </row>
    <row r="16" spans="1:3">
      <c r="A16" s="30">
        <v>4.0199999999999996</v>
      </c>
      <c r="B16" s="51" t="str">
        <v>Allelopathic traits of taxon are not well known. However, congener, A. theophrasti is noted to be allelpathic (1).</v>
      </c>
      <c r="C16" s="51" t="str">
        <v>(1) Shi, S., Cheng, J., Ahmad, N., Zhao, W., Tian, M., Yuan, Z., Li, C., &amp; Zhao, C. (2023). Effects of potential allelochemicals in a water extract of Abutilon theophrasti Medik. on germination and growth of Glycine max L., Triticum aestivum L., and Zea mays L. Journal of the science of food and agriculture, 103(4), 2155–2165. https://doi.org/10.1002/jsfa.12315</v>
      </c>
    </row>
    <row r="17" spans="1:3">
      <c r="A17" s="30">
        <v>4.03</v>
      </c>
      <c r="B17" s="51" t="str">
        <v>No evidence.</v>
      </c>
      <c r="C17" s="51">
        <v>0</v>
      </c>
    </row>
    <row r="18" spans="1:3">
      <c r="A18" s="30">
        <v>4.04</v>
      </c>
      <c r="B18" s="51" t="str">
        <v>Taxon is not toxic (1)(2).</v>
      </c>
      <c r="C18" s="51" t="str">
        <v>(1) https://www.gardenersworld.com/plants/abutilon-megapotamicum/
(2) https://www.gfloutdoors.com/abutilon-megapotamicum-care-everything-you-need-to-know/</v>
      </c>
    </row>
    <row r="19" spans="1:3">
      <c r="A19" s="30">
        <v>4.05</v>
      </c>
      <c r="B19" s="51" t="str">
        <v>Taxon is not toxic (1)(2).</v>
      </c>
      <c r="C19" s="51" t="str">
        <v>(1) https://www.gardenersworld.com/plants/abutilon-megapotamicum/
(2) https://www.gfloutdoors.com/abutilon-megapotamicum-care-everything-you-need-to-know/</v>
      </c>
    </row>
    <row r="20" spans="1:3">
      <c r="A20" s="30">
        <v>4.0599999999999996</v>
      </c>
      <c r="B20" s="51" t="str">
        <v>Taxon is noted to be relatively pest free and not a host for common agricultural pests and pathogens (1)(2).</v>
      </c>
      <c r="C20" s="51" t="str">
        <v>(1) https://hayloft.co.uk/how-to-grow-abutilon-megapotanicum
(2) https://blog.hardyplantsociety.org/brazilian-bombshell-spice-northwest-gardens-abutilon-megapotamicum/</v>
      </c>
    </row>
    <row r="21" spans="1:3">
      <c r="A21" s="30">
        <v>4.07</v>
      </c>
      <c r="B21" s="51" t="str">
        <v>Taxon is not toxic (1)(2).</v>
      </c>
      <c r="C21" s="51" t="str">
        <v>(1) https://www.gardenersworld.com/plants/abutilon-megapotamicum/
(2) https://www.gfloutdoors.com/abutilon-megapotamicum-care-everything-you-need-to-know/</v>
      </c>
    </row>
    <row r="22" spans="1:3">
      <c r="A22" s="30">
        <v>4.08</v>
      </c>
      <c r="B22" s="51" t="str">
        <v>No evidence.</v>
      </c>
      <c r="C22" s="53">
        <v>0</v>
      </c>
    </row>
    <row r="23" spans="1:3">
      <c r="A23" s="30">
        <v>4.09</v>
      </c>
      <c r="B23" s="51" t="str">
        <v>Taxon grows best in partial shade (1)(2).
"Although they will grow in full sun, abutilons are best in dappled shade in rich soil. The leaves of some variegated cultivars can be scorched by too much sunlight (1)."</v>
      </c>
      <c r="C23" s="51" t="str">
        <v>(1) https://www.gardensillustrated.com/plants/summer/abutilon-how-to-grow
(2) https://plantlust.com/plants/6137/abutilon-megapotamicum/#:~:text=Size%20*%20sun%20%2D%20dappled%20shade.%20*%20regular.</v>
      </c>
    </row>
    <row r="24" spans="1:3">
      <c r="A24" s="30">
        <v>4.0999999999999996</v>
      </c>
      <c r="B24" s="51" t="str">
        <v>Taxon grows best in well-drained soil that has plenty of nutrients (1)(2).
"Easy to grow in most any soil of moist but well-drained to somewhat dry soil of average fertility and full sun to part shade... (1)"</v>
      </c>
      <c r="C24" s="51" t="str">
        <v>(1) https://www.wilsonbrosgardens.com/abutilon-megapotamicum-brazilian-bellflower-2g.html#
(2) https://www.gardensillustrated.com/plants/summer/abutilon-how-to-grow</v>
      </c>
    </row>
    <row r="25" spans="1:3">
      <c r="A25" s="30">
        <v>4.1100000000000003</v>
      </c>
      <c r="B25" s="51" t="str">
        <v xml:space="preserve">Taxon is noted to grow and spread over surrounding vegetation and objects (1)(2).
"Some abutilons spread and vine more than others, in which case a trellis is warranted (1)." </v>
      </c>
      <c r="C25" s="51" t="str">
        <v>(1) https://www.thespruce.com/how-to-care-for-abutilon-plants-3976754#
(2) https://blog.hardyplantsociety.org/brazilian-bombshell-spice-northwest-gardens-abutilon-megapotamicum/</v>
      </c>
    </row>
    <row r="26" spans="1:3">
      <c r="A26" s="30">
        <v>4.12</v>
      </c>
      <c r="B26" s="51" t="str">
        <v>Taxon is a perennial shrub growing  up to 10 feet wide and 10 feet tall (1)(2).</v>
      </c>
      <c r="C26" s="51" t="str">
        <v>(1) https://plantlust.com/plants/6137/abutilon-megapotamicum/#:~:text=Size%20*%20sun%20%2D%20dappled%20shade.%20*%20regular.
(2) https://pfaf.org/user/Plant.aspx?LatinName=Abutilon+megapotamicum#:~:text=Summary,It%20prefers%20moist%20soil.</v>
      </c>
    </row>
    <row r="27" spans="1:3">
      <c r="A27" s="30">
        <v>5.01</v>
      </c>
      <c r="B27" s="51" t="str">
        <v>Taxon is a terrestrial plant.</v>
      </c>
      <c r="C27" s="51">
        <v>0</v>
      </c>
    </row>
    <row r="28" spans="1:3">
      <c r="A28" s="30">
        <v>5.0199999999999996</v>
      </c>
      <c r="B28" s="51" t="str">
        <v>Not of the poaceae family.</v>
      </c>
      <c r="C28" s="51">
        <v>0</v>
      </c>
    </row>
    <row r="29" spans="1:3">
      <c r="A29" s="30">
        <v>5.03</v>
      </c>
      <c r="B29" s="51" t="str">
        <v>No evidence.</v>
      </c>
      <c r="C29" s="51">
        <v>0</v>
      </c>
    </row>
    <row r="30" spans="1:3">
      <c r="A30" s="30">
        <v>5.04</v>
      </c>
      <c r="B30" s="51" t="str">
        <v>No evidence.</v>
      </c>
      <c r="C30" s="51">
        <v>0</v>
      </c>
    </row>
    <row r="31" spans="1:3">
      <c r="A31" s="30">
        <v>6.01</v>
      </c>
      <c r="B31" s="50" t="str">
        <v>Taxon occurance in wild situations is not well known (1). Taxon synonym Callianthe megapotamica may be considered threatened in native range (2).</v>
      </c>
      <c r="C31" s="51" t="str">
        <v>(1) https://tropical.theferns.info/viewtropical.php?id=Abutilon+megapotamicum#:~:text=Widely%20cultivated%20in%20the%20Tropics,in%20a%20truly%20wild%20situation.
(2) https://powo.science.kew.org/taxon/urn:lsid:ipni.org:names:77146519-1/general-information</v>
      </c>
    </row>
    <row r="32" spans="1:3">
      <c r="A32" s="30">
        <v>6.02</v>
      </c>
      <c r="B32" s="51" t="str">
        <v>Taxon propagates by seed and vegetatively (1)(2).</v>
      </c>
      <c r="C32" s="51" t="str">
        <v>(1) https://pfaf.org/user/Plant.aspx?LatinName=Abutilon+megapotamicum#
(2) https://www.gardenia.net/plant/abutilon-megapotamicum</v>
      </c>
    </row>
    <row r="33" spans="1:3">
      <c r="A33" s="30">
        <v>6.03</v>
      </c>
      <c r="B33" s="51" t="str">
        <v>Taxon can be cross-pollinated with other plants to produce cultivars of hybrid ornamental plants (1). Hybridization in the wild is unknown (2).</v>
      </c>
      <c r="C33" s="51" t="str">
        <v xml:space="preserve">(1) https://plantlust.com/plants/43266/abutilon-megapotamicum-hybrid-uc-davis-white/#:~:text=Abutilon%20megapotamicum%20hybrid%20%5BUC%20Davis%20White%5D%20plant%20details,heat%20tolerant%20and%20humidity%20tolerant.
(2) https://tropical.theferns.info/viewtropical.php?id=Abutilon+megapotamicum#:~:text=Widely%20cultivated%20in%20the%20Tropics,in%20a%20truly%20wild%20situation.
</v>
      </c>
    </row>
    <row r="34" spans="1:3">
      <c r="A34" s="30">
        <v>6.04</v>
      </c>
      <c r="B34" s="51" t="str">
        <v>Limited information supporting self-pollination, but it may occur (1).</v>
      </c>
      <c r="C34" s="51" t="str">
        <v>(1) https://greg.app/abutilon-lifecycle/</v>
      </c>
    </row>
    <row r="35" spans="1:3">
      <c r="A35" s="30">
        <v>6.05</v>
      </c>
      <c r="B35" s="51" t="str">
        <v>Taxon attracts generalist pollinators (1).
"attracts plenty of beneficial pollinators with its colorful flowers. You can expect bees, butterflies, and even hummingbirds to get to your garden (1)."</v>
      </c>
      <c r="C35" s="51" t="str">
        <v>(1) https://www.gfloutdoors.com/abutilon-megapotamicum-care-everything-you-need-to-know/
(2) https://www.gardenia.net/plants/genera/abutilon#:~:text=Some%20taller%20varieties%20can%20serve,to%20a%20healthier%20garden%20ecosystem.</v>
      </c>
    </row>
    <row r="36" spans="1:3">
      <c r="A36" s="30">
        <v>6.06</v>
      </c>
      <c r="B36" s="51" t="str">
        <v>Taxon can reproduce via seed and cuttings (1)(2).</v>
      </c>
      <c r="C36" s="51" t="str">
        <v>(1) https://www.gardenia.net/plant/abutilon-megapotamicum
(2) https://tropical.theferns.info/viewtropical.php?id=Abutilon+megapotamicum#</v>
      </c>
    </row>
    <row r="37" spans="1:3">
      <c r="A37" s="30">
        <v>6.07</v>
      </c>
      <c r="B37" s="51" t="str">
        <v>Generative time is not well known and depends on propagation method (1).
"Under optimal conditions, Abutilon can reach maturity within just one year (2)."</v>
      </c>
      <c r="C37" s="51" t="str">
        <v>(1) https://www.thespruce.com/how-to-care-for-abutilon-plants-3976754#
(2) https://greg.app/abutilon-lifecycle/</v>
      </c>
    </row>
    <row r="38" spans="1:3">
      <c r="A38" s="30">
        <v>7.01</v>
      </c>
      <c r="B38" s="51" t="str">
        <v>No evidence of traits that aid propagule dispersal (1).</v>
      </c>
      <c r="C38" s="51" t="str">
        <v>() https://www.eattheweeds.com/tag/abutilon-megapotamicum/#:~:text=In%201751%20the%20Gardener's%20Dictionary,edition%20of%20his%20Gardener's%20Dictionary.</v>
      </c>
    </row>
    <row r="39" spans="1:3">
      <c r="A39" s="30">
        <v>7.02</v>
      </c>
      <c r="B39" s="51" t="str">
        <v>Taxon is commonly cultivated as an ornamental plant (1)(2).</v>
      </c>
      <c r="C39" s="51" t="str">
        <v>(1) https://tropical.theferns.info/viewtropical.php?id=Abutilon+megapotamicum#:~:text=Widely%20cultivated%20in%20the%20Tropics,in%20a%20truly%20wild%20situation.
(2) https://www.thespruce.com/how-to-care-for-abutilon-plants-3976754#</v>
      </c>
    </row>
    <row r="40" spans="1:3">
      <c r="A40" s="30">
        <v>7.03</v>
      </c>
      <c r="B40" s="50" t="str">
        <v>No evidence.</v>
      </c>
      <c r="C40" s="51">
        <v>0</v>
      </c>
    </row>
    <row r="41" spans="1:3">
      <c r="A41" s="30">
        <v>7.04</v>
      </c>
      <c r="B41" s="51" t="str">
        <v>No evidence.</v>
      </c>
      <c r="C41" s="51">
        <v>0</v>
      </c>
    </row>
    <row r="42" spans="1:3">
      <c r="A42" s="30">
        <v>7.05</v>
      </c>
      <c r="B42" s="51" t="str">
        <v>No evidence.</v>
      </c>
      <c r="C42" s="51">
        <v>0</v>
      </c>
    </row>
    <row r="43" spans="1:3">
      <c r="A43" s="30">
        <v>7.06</v>
      </c>
      <c r="B43" s="51" t="str">
        <v>No evidence.</v>
      </c>
      <c r="C43" s="51">
        <v>0</v>
      </c>
    </row>
    <row r="44" spans="1:3">
      <c r="A44" s="30">
        <v>7.07</v>
      </c>
      <c r="B44" s="51" t="str">
        <v>No evidence.</v>
      </c>
      <c r="C44" s="51">
        <v>0</v>
      </c>
    </row>
    <row r="45" spans="1:3">
      <c r="A45" s="30">
        <v>7.08</v>
      </c>
      <c r="B45" s="50" t="str">
        <v>No evidence.</v>
      </c>
      <c r="C45" s="51">
        <v>0</v>
      </c>
    </row>
    <row r="46" spans="1:3">
      <c r="A46" s="30">
        <v>8.01</v>
      </c>
      <c r="B46" s="50" t="str">
        <v>Number of seeds per plant is not well known.</v>
      </c>
      <c r="C46" s="51">
        <v>0</v>
      </c>
    </row>
    <row r="47" spans="1:3">
      <c r="A47" s="30">
        <v>8.02</v>
      </c>
      <c r="B47" s="51" t="str">
        <v>No evidence.</v>
      </c>
      <c r="C47" s="51">
        <v>0</v>
      </c>
    </row>
    <row r="48" spans="1:3">
      <c r="A48" s="30">
        <v>8.0299999999999994</v>
      </c>
      <c r="B48" s="51" t="str">
        <v>Taxon vulnerability to herbicides is not well known.</v>
      </c>
      <c r="C48" s="51">
        <v>0</v>
      </c>
    </row>
    <row r="49" spans="1:3">
      <c r="A49" s="30">
        <v>8.0399999999999991</v>
      </c>
      <c r="B49" s="51" t="str">
        <v>Taxon is noted to reproduce vegetatively so cutting, mutilation, and other disturbances may benefit taxon (1).</v>
      </c>
      <c r="C49" s="51" t="str">
        <v>(1) https://www.gardenia.net/plant/abutilon-megapotamicum
(2) https://tropical.theferns.info/viewtropical.php?id=Abutilon+megapotamicum#</v>
      </c>
    </row>
    <row r="50" spans="1:3">
      <c r="A50" s="30">
        <v>8.0500000000000007</v>
      </c>
      <c r="B50" s="50" t="str">
        <v>No evidence.</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2C3439-75BE-411A-8E6B-DF10E44BED25}"/>
</file>

<file path=customXml/itemProps2.xml><?xml version="1.0" encoding="utf-8"?>
<ds:datastoreItem xmlns:ds="http://schemas.openxmlformats.org/officeDocument/2006/customXml" ds:itemID="{624714E1-6774-437D-801A-4B8EB940739E}"/>
</file>

<file path=customXml/itemProps3.xml><?xml version="1.0" encoding="utf-8"?>
<ds:datastoreItem xmlns:ds="http://schemas.openxmlformats.org/officeDocument/2006/customXml" ds:itemID="{FC7C5DCB-5469-4470-81D8-0D1EF0527B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Deelstra, Cameron</cp:lastModifiedBy>
  <cp:revision/>
  <dcterms:created xsi:type="dcterms:W3CDTF">2021-06-15T16:34:22Z</dcterms:created>
  <dcterms:modified xsi:type="dcterms:W3CDTF">2025-10-24T14:46:43Z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